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kennedy_PHD_full_corrected\Supp App_to submit\"/>
    </mc:Choice>
  </mc:AlternateContent>
  <bookViews>
    <workbookView xWindow="0" yWindow="0" windowWidth="19215" windowHeight="14220" activeTab="3"/>
  </bookViews>
  <sheets>
    <sheet name="FIELD_PGE" sheetId="5" r:id="rId1"/>
    <sheet name="VSF2_PGE" sheetId="1" r:id="rId2"/>
    <sheet name="BV1_PGE" sheetId="6" r:id="rId3"/>
    <sheet name="STD_stats" sheetId="4" r:id="rId4"/>
    <sheet name="STD_metadata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6" l="1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3" i="6"/>
  <c r="S6" i="5"/>
  <c r="S7" i="5"/>
  <c r="S8" i="5"/>
  <c r="S9" i="5"/>
  <c r="S10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30" i="5"/>
  <c r="S31" i="5"/>
  <c r="S32" i="5"/>
  <c r="S33" i="5"/>
  <c r="S34" i="5"/>
  <c r="S35" i="5"/>
  <c r="S36" i="5"/>
  <c r="S37" i="5"/>
  <c r="S38" i="5"/>
  <c r="S39" i="5"/>
  <c r="S43" i="5"/>
  <c r="S44" i="5"/>
  <c r="S45" i="5"/>
  <c r="S46" i="5"/>
  <c r="S47" i="5"/>
  <c r="S5" i="5"/>
  <c r="AE6" i="5" l="1"/>
  <c r="AF6" i="5"/>
  <c r="AG6" i="5"/>
  <c r="AH6" i="5"/>
  <c r="AI6" i="5"/>
  <c r="AJ6" i="5"/>
  <c r="AK6" i="5"/>
  <c r="AE7" i="5"/>
  <c r="AF7" i="5"/>
  <c r="AG7" i="5"/>
  <c r="AH7" i="5"/>
  <c r="AI7" i="5"/>
  <c r="AJ7" i="5"/>
  <c r="AK7" i="5"/>
  <c r="AE8" i="5"/>
  <c r="AF8" i="5"/>
  <c r="AG8" i="5"/>
  <c r="AH8" i="5"/>
  <c r="AI8" i="5"/>
  <c r="AJ8" i="5"/>
  <c r="AK8" i="5"/>
  <c r="AE9" i="5"/>
  <c r="AF9" i="5"/>
  <c r="AG9" i="5"/>
  <c r="AH9" i="5"/>
  <c r="AI9" i="5"/>
  <c r="AJ9" i="5"/>
  <c r="AK9" i="5"/>
  <c r="AE10" i="5"/>
  <c r="AF10" i="5"/>
  <c r="AG10" i="5"/>
  <c r="AH10" i="5"/>
  <c r="AI10" i="5"/>
  <c r="AJ10" i="5"/>
  <c r="AK10" i="5"/>
  <c r="AE14" i="5"/>
  <c r="AF14" i="5"/>
  <c r="AG14" i="5"/>
  <c r="AH14" i="5"/>
  <c r="AI14" i="5"/>
  <c r="AJ14" i="5"/>
  <c r="AK14" i="5"/>
  <c r="AE15" i="5"/>
  <c r="AF15" i="5"/>
  <c r="AG15" i="5"/>
  <c r="AH15" i="5"/>
  <c r="AI15" i="5"/>
  <c r="AJ15" i="5"/>
  <c r="AK15" i="5"/>
  <c r="AE17" i="5"/>
  <c r="AF17" i="5"/>
  <c r="AG17" i="5"/>
  <c r="AH17" i="5"/>
  <c r="AI17" i="5"/>
  <c r="AJ17" i="5"/>
  <c r="AK17" i="5"/>
  <c r="AE19" i="5"/>
  <c r="AF19" i="5"/>
  <c r="AG19" i="5"/>
  <c r="AH19" i="5"/>
  <c r="AI19" i="5"/>
  <c r="AJ19" i="5"/>
  <c r="AK19" i="5"/>
  <c r="AE20" i="5"/>
  <c r="AF20" i="5"/>
  <c r="AG20" i="5"/>
  <c r="AH20" i="5"/>
  <c r="AI20" i="5"/>
  <c r="AJ20" i="5"/>
  <c r="AK20" i="5"/>
  <c r="AE21" i="5"/>
  <c r="AF21" i="5"/>
  <c r="AG21" i="5"/>
  <c r="AH21" i="5"/>
  <c r="AI21" i="5"/>
  <c r="AJ21" i="5"/>
  <c r="AK21" i="5"/>
  <c r="AE22" i="5"/>
  <c r="AF22" i="5"/>
  <c r="AG22" i="5"/>
  <c r="AH22" i="5"/>
  <c r="AI22" i="5"/>
  <c r="AJ22" i="5"/>
  <c r="AK22" i="5"/>
  <c r="AE23" i="5"/>
  <c r="AF23" i="5"/>
  <c r="AG23" i="5"/>
  <c r="AH23" i="5"/>
  <c r="AI23" i="5"/>
  <c r="AJ23" i="5"/>
  <c r="AK23" i="5"/>
  <c r="AE24" i="5"/>
  <c r="AF24" i="5"/>
  <c r="AG24" i="5"/>
  <c r="AH24" i="5"/>
  <c r="AI24" i="5"/>
  <c r="AJ24" i="5"/>
  <c r="AK24" i="5"/>
  <c r="AE25" i="5"/>
  <c r="AF25" i="5"/>
  <c r="AG25" i="5"/>
  <c r="AH25" i="5"/>
  <c r="AI25" i="5"/>
  <c r="AJ25" i="5"/>
  <c r="AK25" i="5"/>
  <c r="AE26" i="5"/>
  <c r="AF26" i="5"/>
  <c r="AG26" i="5"/>
  <c r="AH26" i="5"/>
  <c r="AI26" i="5"/>
  <c r="AJ26" i="5"/>
  <c r="AK26" i="5"/>
  <c r="AE16" i="5"/>
  <c r="AF16" i="5"/>
  <c r="AG16" i="5"/>
  <c r="AH16" i="5"/>
  <c r="AI16" i="5"/>
  <c r="AJ16" i="5"/>
  <c r="AK16" i="5"/>
  <c r="AE18" i="5"/>
  <c r="AF18" i="5"/>
  <c r="AG18" i="5"/>
  <c r="AH18" i="5"/>
  <c r="AI18" i="5"/>
  <c r="AJ18" i="5"/>
  <c r="AK18" i="5"/>
  <c r="AE36" i="5"/>
  <c r="AF36" i="5"/>
  <c r="AG36" i="5"/>
  <c r="AH36" i="5"/>
  <c r="AI36" i="5"/>
  <c r="AJ36" i="5"/>
  <c r="AK36" i="5"/>
  <c r="AE31" i="5"/>
  <c r="AF31" i="5"/>
  <c r="AG31" i="5"/>
  <c r="AH31" i="5"/>
  <c r="AI31" i="5"/>
  <c r="AJ31" i="5"/>
  <c r="AK31" i="5"/>
  <c r="AE37" i="5"/>
  <c r="AF37" i="5"/>
  <c r="AG37" i="5"/>
  <c r="AH37" i="5"/>
  <c r="AI37" i="5"/>
  <c r="AJ37" i="5"/>
  <c r="AK37" i="5"/>
  <c r="AE34" i="5"/>
  <c r="AF34" i="5"/>
  <c r="AG34" i="5"/>
  <c r="AH34" i="5"/>
  <c r="AI34" i="5"/>
  <c r="AJ34" i="5"/>
  <c r="AK34" i="5"/>
  <c r="AE39" i="5"/>
  <c r="AF39" i="5"/>
  <c r="AG39" i="5"/>
  <c r="AH39" i="5"/>
  <c r="AI39" i="5"/>
  <c r="AJ39" i="5"/>
  <c r="AK39" i="5"/>
  <c r="AE32" i="5"/>
  <c r="AF32" i="5"/>
  <c r="AG32" i="5"/>
  <c r="AH32" i="5"/>
  <c r="AI32" i="5"/>
  <c r="AJ32" i="5"/>
  <c r="AK32" i="5"/>
  <c r="AE38" i="5"/>
  <c r="AF38" i="5"/>
  <c r="AG38" i="5"/>
  <c r="AH38" i="5"/>
  <c r="AI38" i="5"/>
  <c r="AJ38" i="5"/>
  <c r="AK38" i="5"/>
  <c r="AE35" i="5"/>
  <c r="AF35" i="5"/>
  <c r="AG35" i="5"/>
  <c r="AH35" i="5"/>
  <c r="AI35" i="5"/>
  <c r="AJ35" i="5"/>
  <c r="AK35" i="5"/>
  <c r="AE33" i="5"/>
  <c r="AF33" i="5"/>
  <c r="AG33" i="5"/>
  <c r="AH33" i="5"/>
  <c r="AI33" i="5"/>
  <c r="AJ33" i="5"/>
  <c r="AK33" i="5"/>
  <c r="AE30" i="5"/>
  <c r="AF30" i="5"/>
  <c r="AG30" i="5"/>
  <c r="AH30" i="5"/>
  <c r="AI30" i="5"/>
  <c r="AJ30" i="5"/>
  <c r="AK30" i="5"/>
  <c r="AE45" i="5"/>
  <c r="AF45" i="5"/>
  <c r="AG45" i="5"/>
  <c r="AH45" i="5"/>
  <c r="AI45" i="5"/>
  <c r="AJ45" i="5"/>
  <c r="AK45" i="5"/>
  <c r="AE43" i="5"/>
  <c r="AF43" i="5"/>
  <c r="AG43" i="5"/>
  <c r="AH43" i="5"/>
  <c r="AI43" i="5"/>
  <c r="AJ43" i="5"/>
  <c r="AK43" i="5"/>
  <c r="AE47" i="5"/>
  <c r="AF47" i="5"/>
  <c r="AG47" i="5"/>
  <c r="AH47" i="5"/>
  <c r="AI47" i="5"/>
  <c r="AJ47" i="5"/>
  <c r="AK47" i="5"/>
  <c r="AE46" i="5"/>
  <c r="AF46" i="5"/>
  <c r="AG46" i="5"/>
  <c r="AH46" i="5"/>
  <c r="AI46" i="5"/>
  <c r="AJ46" i="5"/>
  <c r="AK46" i="5"/>
  <c r="AE44" i="5"/>
  <c r="AF44" i="5"/>
  <c r="AG44" i="5"/>
  <c r="AH44" i="5"/>
  <c r="AI44" i="5"/>
  <c r="AJ44" i="5"/>
  <c r="AK44" i="5"/>
  <c r="AK5" i="5"/>
  <c r="AJ5" i="5"/>
  <c r="AI5" i="5"/>
  <c r="AH5" i="5"/>
  <c r="AG5" i="5"/>
  <c r="AF5" i="5"/>
  <c r="AE5" i="5"/>
  <c r="AG4" i="6"/>
  <c r="AH4" i="6"/>
  <c r="AI4" i="6"/>
  <c r="AJ4" i="6"/>
  <c r="AK4" i="6"/>
  <c r="AL4" i="6"/>
  <c r="AM4" i="6"/>
  <c r="AG5" i="6"/>
  <c r="AH5" i="6"/>
  <c r="AI5" i="6"/>
  <c r="AJ5" i="6"/>
  <c r="AK5" i="6"/>
  <c r="AL5" i="6"/>
  <c r="AM5" i="6"/>
  <c r="AG6" i="6"/>
  <c r="AH6" i="6"/>
  <c r="AI6" i="6"/>
  <c r="AJ6" i="6"/>
  <c r="AK6" i="6"/>
  <c r="AL6" i="6"/>
  <c r="AM6" i="6"/>
  <c r="AG7" i="6"/>
  <c r="AH7" i="6"/>
  <c r="AI7" i="6"/>
  <c r="AJ7" i="6"/>
  <c r="AK7" i="6"/>
  <c r="AL7" i="6"/>
  <c r="AM7" i="6"/>
  <c r="AG8" i="6"/>
  <c r="AH8" i="6"/>
  <c r="AI8" i="6"/>
  <c r="AJ8" i="6"/>
  <c r="AK8" i="6"/>
  <c r="AL8" i="6"/>
  <c r="AM8" i="6"/>
  <c r="AG9" i="6"/>
  <c r="AH9" i="6"/>
  <c r="AI9" i="6"/>
  <c r="AJ9" i="6"/>
  <c r="AK9" i="6"/>
  <c r="AL9" i="6"/>
  <c r="AM9" i="6"/>
  <c r="AG10" i="6"/>
  <c r="AH10" i="6"/>
  <c r="AI10" i="6"/>
  <c r="AJ10" i="6"/>
  <c r="AK10" i="6"/>
  <c r="AL10" i="6"/>
  <c r="AM10" i="6"/>
  <c r="AG11" i="6"/>
  <c r="AH11" i="6"/>
  <c r="AI11" i="6"/>
  <c r="AJ11" i="6"/>
  <c r="AK11" i="6"/>
  <c r="AL11" i="6"/>
  <c r="AM11" i="6"/>
  <c r="AG12" i="6"/>
  <c r="AH12" i="6"/>
  <c r="AI12" i="6"/>
  <c r="AJ12" i="6"/>
  <c r="AK12" i="6"/>
  <c r="AL12" i="6"/>
  <c r="AM12" i="6"/>
  <c r="AG13" i="6"/>
  <c r="AH13" i="6"/>
  <c r="AI13" i="6"/>
  <c r="AJ13" i="6"/>
  <c r="AK13" i="6"/>
  <c r="AL13" i="6"/>
  <c r="AM13" i="6"/>
  <c r="AG14" i="6"/>
  <c r="AH14" i="6"/>
  <c r="AI14" i="6"/>
  <c r="AJ14" i="6"/>
  <c r="AK14" i="6"/>
  <c r="AL14" i="6"/>
  <c r="AM14" i="6"/>
  <c r="AG15" i="6"/>
  <c r="AH15" i="6"/>
  <c r="AI15" i="6"/>
  <c r="AJ15" i="6"/>
  <c r="AK15" i="6"/>
  <c r="AL15" i="6"/>
  <c r="AM15" i="6"/>
  <c r="AG16" i="6"/>
  <c r="AH16" i="6"/>
  <c r="AI16" i="6"/>
  <c r="AJ16" i="6"/>
  <c r="AK16" i="6"/>
  <c r="AL16" i="6"/>
  <c r="AM16" i="6"/>
  <c r="AG17" i="6"/>
  <c r="AH17" i="6"/>
  <c r="AI17" i="6"/>
  <c r="AJ17" i="6"/>
  <c r="AK17" i="6"/>
  <c r="AL17" i="6"/>
  <c r="AM17" i="6"/>
  <c r="AG18" i="6"/>
  <c r="AH18" i="6"/>
  <c r="AI18" i="6"/>
  <c r="AJ18" i="6"/>
  <c r="AK18" i="6"/>
  <c r="AL18" i="6"/>
  <c r="AM18" i="6"/>
  <c r="AG19" i="6"/>
  <c r="AH19" i="6"/>
  <c r="AI19" i="6"/>
  <c r="AJ19" i="6"/>
  <c r="AK19" i="6"/>
  <c r="AL19" i="6"/>
  <c r="AM19" i="6"/>
  <c r="AG20" i="6"/>
  <c r="AH20" i="6"/>
  <c r="AI20" i="6"/>
  <c r="AJ20" i="6"/>
  <c r="AK20" i="6"/>
  <c r="AL20" i="6"/>
  <c r="AM20" i="6"/>
  <c r="AG21" i="6"/>
  <c r="AH21" i="6"/>
  <c r="AI21" i="6"/>
  <c r="AJ21" i="6"/>
  <c r="AK21" i="6"/>
  <c r="AL21" i="6"/>
  <c r="AM21" i="6"/>
  <c r="AG22" i="6"/>
  <c r="AH22" i="6"/>
  <c r="AI22" i="6"/>
  <c r="AJ22" i="6"/>
  <c r="AK22" i="6"/>
  <c r="AL22" i="6"/>
  <c r="AM22" i="6"/>
  <c r="AG23" i="6"/>
  <c r="AH23" i="6"/>
  <c r="AI23" i="6"/>
  <c r="AJ23" i="6"/>
  <c r="AK23" i="6"/>
  <c r="AL23" i="6"/>
  <c r="AM23" i="6"/>
  <c r="AG24" i="6"/>
  <c r="AH24" i="6"/>
  <c r="AI24" i="6"/>
  <c r="AJ24" i="6"/>
  <c r="AK24" i="6"/>
  <c r="AL24" i="6"/>
  <c r="AM24" i="6"/>
  <c r="AG25" i="6"/>
  <c r="AH25" i="6"/>
  <c r="AI25" i="6"/>
  <c r="AJ25" i="6"/>
  <c r="AK25" i="6"/>
  <c r="AL25" i="6"/>
  <c r="AM25" i="6"/>
  <c r="AG26" i="6"/>
  <c r="AH26" i="6"/>
  <c r="AI26" i="6"/>
  <c r="AJ26" i="6"/>
  <c r="AK26" i="6"/>
  <c r="AL26" i="6"/>
  <c r="AM26" i="6"/>
  <c r="AG27" i="6"/>
  <c r="AH27" i="6"/>
  <c r="AI27" i="6"/>
  <c r="AJ27" i="6"/>
  <c r="AK27" i="6"/>
  <c r="AL27" i="6"/>
  <c r="AM27" i="6"/>
  <c r="AM3" i="6"/>
  <c r="AL3" i="6"/>
  <c r="AK3" i="6"/>
  <c r="AJ3" i="6"/>
  <c r="AI3" i="6"/>
  <c r="AH3" i="6"/>
  <c r="AG3" i="6"/>
  <c r="AE4" i="1"/>
  <c r="AF4" i="1"/>
  <c r="AG4" i="1"/>
  <c r="AH4" i="1"/>
  <c r="AI4" i="1"/>
  <c r="AJ4" i="1"/>
  <c r="AK4" i="1"/>
  <c r="AE5" i="1"/>
  <c r="AF5" i="1"/>
  <c r="AG5" i="1"/>
  <c r="AH5" i="1"/>
  <c r="AI5" i="1"/>
  <c r="AJ5" i="1"/>
  <c r="AK5" i="1"/>
  <c r="AE6" i="1"/>
  <c r="AF6" i="1"/>
  <c r="AG6" i="1"/>
  <c r="AH6" i="1"/>
  <c r="AI6" i="1"/>
  <c r="AJ6" i="1"/>
  <c r="AK6" i="1"/>
  <c r="AE7" i="1"/>
  <c r="AF7" i="1"/>
  <c r="AG7" i="1"/>
  <c r="AH7" i="1"/>
  <c r="AI7" i="1"/>
  <c r="AJ7" i="1"/>
  <c r="AK7" i="1"/>
  <c r="AE8" i="1"/>
  <c r="AF8" i="1"/>
  <c r="AG8" i="1"/>
  <c r="AH8" i="1"/>
  <c r="AI8" i="1"/>
  <c r="AJ8" i="1"/>
  <c r="AK8" i="1"/>
  <c r="AE9" i="1"/>
  <c r="AF9" i="1"/>
  <c r="AG9" i="1"/>
  <c r="AH9" i="1"/>
  <c r="AI9" i="1"/>
  <c r="AJ9" i="1"/>
  <c r="AK9" i="1"/>
  <c r="AE10" i="1"/>
  <c r="AF10" i="1"/>
  <c r="AG10" i="1"/>
  <c r="AH10" i="1"/>
  <c r="AI10" i="1"/>
  <c r="AJ10" i="1"/>
  <c r="AK10" i="1"/>
  <c r="AE11" i="1"/>
  <c r="AF11" i="1"/>
  <c r="AG11" i="1"/>
  <c r="AH11" i="1"/>
  <c r="AI11" i="1"/>
  <c r="AJ11" i="1"/>
  <c r="AK11" i="1"/>
  <c r="AE12" i="1"/>
  <c r="AF12" i="1"/>
  <c r="AG12" i="1"/>
  <c r="AH12" i="1"/>
  <c r="AI12" i="1"/>
  <c r="AJ12" i="1"/>
  <c r="AK12" i="1"/>
  <c r="AE13" i="1"/>
  <c r="AF13" i="1"/>
  <c r="AG13" i="1"/>
  <c r="AH13" i="1"/>
  <c r="AI13" i="1"/>
  <c r="AJ13" i="1"/>
  <c r="AK13" i="1"/>
  <c r="AE14" i="1"/>
  <c r="AF14" i="1"/>
  <c r="AG14" i="1"/>
  <c r="AH14" i="1"/>
  <c r="AI14" i="1"/>
  <c r="AJ14" i="1"/>
  <c r="AK14" i="1"/>
  <c r="AE15" i="1"/>
  <c r="AF15" i="1"/>
  <c r="AG15" i="1"/>
  <c r="AH15" i="1"/>
  <c r="AI15" i="1"/>
  <c r="AJ15" i="1"/>
  <c r="AK15" i="1"/>
  <c r="AE16" i="1"/>
  <c r="AF16" i="1"/>
  <c r="AG16" i="1"/>
  <c r="AH16" i="1"/>
  <c r="AI16" i="1"/>
  <c r="AJ16" i="1"/>
  <c r="AK16" i="1"/>
  <c r="AE17" i="1"/>
  <c r="AF17" i="1"/>
  <c r="AG17" i="1"/>
  <c r="AH17" i="1"/>
  <c r="AI17" i="1"/>
  <c r="AJ17" i="1"/>
  <c r="AK17" i="1"/>
  <c r="AE18" i="1"/>
  <c r="AF18" i="1"/>
  <c r="AG18" i="1"/>
  <c r="AH18" i="1"/>
  <c r="AI18" i="1"/>
  <c r="AJ18" i="1"/>
  <c r="AK18" i="1"/>
  <c r="AE19" i="1"/>
  <c r="AF19" i="1"/>
  <c r="AG19" i="1"/>
  <c r="AH19" i="1"/>
  <c r="AI19" i="1"/>
  <c r="AJ19" i="1"/>
  <c r="AK19" i="1"/>
  <c r="AE20" i="1"/>
  <c r="AF20" i="1"/>
  <c r="AG20" i="1"/>
  <c r="AH20" i="1"/>
  <c r="AI20" i="1"/>
  <c r="AJ20" i="1"/>
  <c r="AK20" i="1"/>
  <c r="AE21" i="1"/>
  <c r="AF21" i="1"/>
  <c r="AG21" i="1"/>
  <c r="AH21" i="1"/>
  <c r="AI21" i="1"/>
  <c r="AJ21" i="1"/>
  <c r="AK21" i="1"/>
  <c r="AE22" i="1"/>
  <c r="AF22" i="1"/>
  <c r="AG22" i="1"/>
  <c r="AH22" i="1"/>
  <c r="AI22" i="1"/>
  <c r="AJ22" i="1"/>
  <c r="AK22" i="1"/>
  <c r="AE23" i="1"/>
  <c r="AF23" i="1"/>
  <c r="AG23" i="1"/>
  <c r="AH23" i="1"/>
  <c r="AI23" i="1"/>
  <c r="AJ23" i="1"/>
  <c r="AK23" i="1"/>
  <c r="AE24" i="1"/>
  <c r="AF24" i="1"/>
  <c r="AG24" i="1"/>
  <c r="AH24" i="1"/>
  <c r="AI24" i="1"/>
  <c r="AJ24" i="1"/>
  <c r="AK24" i="1"/>
  <c r="AE25" i="1"/>
  <c r="AF25" i="1"/>
  <c r="AG25" i="1"/>
  <c r="AH25" i="1"/>
  <c r="AI25" i="1"/>
  <c r="AJ25" i="1"/>
  <c r="AK25" i="1"/>
  <c r="AE26" i="1"/>
  <c r="AF26" i="1"/>
  <c r="AG26" i="1"/>
  <c r="AH26" i="1"/>
  <c r="AI26" i="1"/>
  <c r="AJ26" i="1"/>
  <c r="AK26" i="1"/>
  <c r="AE27" i="1"/>
  <c r="AF27" i="1"/>
  <c r="AG27" i="1"/>
  <c r="AH27" i="1"/>
  <c r="AI27" i="1"/>
  <c r="AJ27" i="1"/>
  <c r="AK27" i="1"/>
  <c r="AE28" i="1"/>
  <c r="AF28" i="1"/>
  <c r="AG28" i="1"/>
  <c r="AH28" i="1"/>
  <c r="AI28" i="1"/>
  <c r="AJ28" i="1"/>
  <c r="AK28" i="1"/>
  <c r="AE29" i="1"/>
  <c r="AF29" i="1"/>
  <c r="AG29" i="1"/>
  <c r="AH29" i="1"/>
  <c r="AI29" i="1"/>
  <c r="AJ29" i="1"/>
  <c r="AK29" i="1"/>
  <c r="AE30" i="1"/>
  <c r="AF30" i="1"/>
  <c r="AG30" i="1"/>
  <c r="AH30" i="1"/>
  <c r="AI30" i="1"/>
  <c r="AJ30" i="1"/>
  <c r="AK30" i="1"/>
  <c r="AE31" i="1"/>
  <c r="AF31" i="1"/>
  <c r="AG31" i="1"/>
  <c r="AH31" i="1"/>
  <c r="AI31" i="1"/>
  <c r="AJ31" i="1"/>
  <c r="AK31" i="1"/>
  <c r="AE32" i="1"/>
  <c r="AF32" i="1"/>
  <c r="AG32" i="1"/>
  <c r="AH32" i="1"/>
  <c r="AI32" i="1"/>
  <c r="AJ32" i="1"/>
  <c r="AK32" i="1"/>
  <c r="AE33" i="1"/>
  <c r="AF33" i="1"/>
  <c r="AG33" i="1"/>
  <c r="AH33" i="1"/>
  <c r="AI33" i="1"/>
  <c r="AJ33" i="1"/>
  <c r="AK33" i="1"/>
  <c r="AE34" i="1"/>
  <c r="AF34" i="1"/>
  <c r="AG34" i="1"/>
  <c r="AH34" i="1"/>
  <c r="AI34" i="1"/>
  <c r="AJ34" i="1"/>
  <c r="AK34" i="1"/>
  <c r="AE35" i="1"/>
  <c r="AF35" i="1"/>
  <c r="AG35" i="1"/>
  <c r="AH35" i="1"/>
  <c r="AI35" i="1"/>
  <c r="AJ35" i="1"/>
  <c r="AK35" i="1"/>
  <c r="AE36" i="1"/>
  <c r="AF36" i="1"/>
  <c r="AG36" i="1"/>
  <c r="AH36" i="1"/>
  <c r="AI36" i="1"/>
  <c r="AJ36" i="1"/>
  <c r="AK36" i="1"/>
  <c r="AE37" i="1"/>
  <c r="AF37" i="1"/>
  <c r="AG37" i="1"/>
  <c r="AH37" i="1"/>
  <c r="AI37" i="1"/>
  <c r="AJ37" i="1"/>
  <c r="AK37" i="1"/>
  <c r="AE38" i="1"/>
  <c r="AF38" i="1"/>
  <c r="AG38" i="1"/>
  <c r="AH38" i="1"/>
  <c r="AI38" i="1"/>
  <c r="AJ38" i="1"/>
  <c r="AK38" i="1"/>
  <c r="AE39" i="1"/>
  <c r="AF39" i="1"/>
  <c r="AG39" i="1"/>
  <c r="AH39" i="1"/>
  <c r="AI39" i="1"/>
  <c r="AJ39" i="1"/>
  <c r="AK39" i="1"/>
  <c r="AE40" i="1"/>
  <c r="AF40" i="1"/>
  <c r="AG40" i="1"/>
  <c r="AH40" i="1"/>
  <c r="AI40" i="1"/>
  <c r="AJ40" i="1"/>
  <c r="AK40" i="1"/>
  <c r="AE41" i="1"/>
  <c r="AF41" i="1"/>
  <c r="AG41" i="1"/>
  <c r="AH41" i="1"/>
  <c r="AI41" i="1"/>
  <c r="AJ41" i="1"/>
  <c r="AK41" i="1"/>
  <c r="AE42" i="1"/>
  <c r="AF42" i="1"/>
  <c r="AG42" i="1"/>
  <c r="AH42" i="1"/>
  <c r="AI42" i="1"/>
  <c r="AJ42" i="1"/>
  <c r="AK42" i="1"/>
  <c r="AE43" i="1"/>
  <c r="AF43" i="1"/>
  <c r="AG43" i="1"/>
  <c r="AH43" i="1"/>
  <c r="AI43" i="1"/>
  <c r="AJ43" i="1"/>
  <c r="AK43" i="1"/>
  <c r="AE44" i="1"/>
  <c r="AF44" i="1"/>
  <c r="AG44" i="1"/>
  <c r="AH44" i="1"/>
  <c r="AI44" i="1"/>
  <c r="AJ44" i="1"/>
  <c r="AK44" i="1"/>
  <c r="AE45" i="1"/>
  <c r="AF45" i="1"/>
  <c r="AG45" i="1"/>
  <c r="AH45" i="1"/>
  <c r="AI45" i="1"/>
  <c r="AJ45" i="1"/>
  <c r="AK45" i="1"/>
  <c r="AE46" i="1"/>
  <c r="AF46" i="1"/>
  <c r="AG46" i="1"/>
  <c r="AH46" i="1"/>
  <c r="AI46" i="1"/>
  <c r="AJ46" i="1"/>
  <c r="AK46" i="1"/>
  <c r="AE47" i="1"/>
  <c r="AF47" i="1"/>
  <c r="AG47" i="1"/>
  <c r="AH47" i="1"/>
  <c r="AI47" i="1"/>
  <c r="AJ47" i="1"/>
  <c r="AK47" i="1"/>
  <c r="AE48" i="1"/>
  <c r="AF48" i="1"/>
  <c r="AG48" i="1"/>
  <c r="AH48" i="1"/>
  <c r="AI48" i="1"/>
  <c r="AJ48" i="1"/>
  <c r="AK48" i="1"/>
  <c r="AE49" i="1"/>
  <c r="AF49" i="1"/>
  <c r="AG49" i="1"/>
  <c r="AH49" i="1"/>
  <c r="AI49" i="1"/>
  <c r="AJ49" i="1"/>
  <c r="AK49" i="1"/>
  <c r="AE50" i="1"/>
  <c r="AF50" i="1"/>
  <c r="AG50" i="1"/>
  <c r="AH50" i="1"/>
  <c r="AI50" i="1"/>
  <c r="AJ50" i="1"/>
  <c r="AK50" i="1"/>
  <c r="AE51" i="1"/>
  <c r="AF51" i="1"/>
  <c r="AG51" i="1"/>
  <c r="AH51" i="1"/>
  <c r="AI51" i="1"/>
  <c r="AJ51" i="1"/>
  <c r="AK51" i="1"/>
  <c r="AE52" i="1"/>
  <c r="AF52" i="1"/>
  <c r="AG52" i="1"/>
  <c r="AH52" i="1"/>
  <c r="AI52" i="1"/>
  <c r="AJ52" i="1"/>
  <c r="AK52" i="1"/>
  <c r="AE53" i="1"/>
  <c r="AF53" i="1"/>
  <c r="AG53" i="1"/>
  <c r="AH53" i="1"/>
  <c r="AI53" i="1"/>
  <c r="AJ53" i="1"/>
  <c r="AK53" i="1"/>
  <c r="AE54" i="1"/>
  <c r="AF54" i="1"/>
  <c r="AG54" i="1"/>
  <c r="AH54" i="1"/>
  <c r="AI54" i="1"/>
  <c r="AJ54" i="1"/>
  <c r="AK54" i="1"/>
  <c r="AE55" i="1"/>
  <c r="AF55" i="1"/>
  <c r="AG55" i="1"/>
  <c r="AH55" i="1"/>
  <c r="AI55" i="1"/>
  <c r="AJ55" i="1"/>
  <c r="AK55" i="1"/>
  <c r="AE56" i="1"/>
  <c r="AF56" i="1"/>
  <c r="AG56" i="1"/>
  <c r="AH56" i="1"/>
  <c r="AI56" i="1"/>
  <c r="AJ56" i="1"/>
  <c r="AK56" i="1"/>
  <c r="AE57" i="1"/>
  <c r="AF57" i="1"/>
  <c r="AG57" i="1"/>
  <c r="AH57" i="1"/>
  <c r="AI57" i="1"/>
  <c r="AJ57" i="1"/>
  <c r="AK57" i="1"/>
  <c r="AE58" i="1"/>
  <c r="AF58" i="1"/>
  <c r="AG58" i="1"/>
  <c r="AH58" i="1"/>
  <c r="AI58" i="1"/>
  <c r="AJ58" i="1"/>
  <c r="AK58" i="1"/>
  <c r="AE59" i="1"/>
  <c r="AF59" i="1"/>
  <c r="AG59" i="1"/>
  <c r="AH59" i="1"/>
  <c r="AI59" i="1"/>
  <c r="AJ59" i="1"/>
  <c r="AK59" i="1"/>
  <c r="AE60" i="1"/>
  <c r="AF60" i="1"/>
  <c r="AG60" i="1"/>
  <c r="AH60" i="1"/>
  <c r="AI60" i="1"/>
  <c r="AJ60" i="1"/>
  <c r="AK60" i="1"/>
  <c r="AE61" i="1"/>
  <c r="AF61" i="1"/>
  <c r="AG61" i="1"/>
  <c r="AH61" i="1"/>
  <c r="AI61" i="1"/>
  <c r="AJ61" i="1"/>
  <c r="AK61" i="1"/>
  <c r="AE62" i="1"/>
  <c r="AF62" i="1"/>
  <c r="AG62" i="1"/>
  <c r="AH62" i="1"/>
  <c r="AI62" i="1"/>
  <c r="AJ62" i="1"/>
  <c r="AK62" i="1"/>
  <c r="AE63" i="1"/>
  <c r="AF63" i="1"/>
  <c r="AG63" i="1"/>
  <c r="AH63" i="1"/>
  <c r="AI63" i="1"/>
  <c r="AJ63" i="1"/>
  <c r="AK63" i="1"/>
  <c r="AE64" i="1"/>
  <c r="AF64" i="1"/>
  <c r="AG64" i="1"/>
  <c r="AH64" i="1"/>
  <c r="AI64" i="1"/>
  <c r="AJ64" i="1"/>
  <c r="AK64" i="1"/>
  <c r="AE65" i="1"/>
  <c r="AF65" i="1"/>
  <c r="AG65" i="1"/>
  <c r="AH65" i="1"/>
  <c r="AI65" i="1"/>
  <c r="AJ65" i="1"/>
  <c r="AK65" i="1"/>
  <c r="AE66" i="1"/>
  <c r="AF66" i="1"/>
  <c r="AG66" i="1"/>
  <c r="AH66" i="1"/>
  <c r="AI66" i="1"/>
  <c r="AJ66" i="1"/>
  <c r="AK66" i="1"/>
  <c r="AE67" i="1"/>
  <c r="AF67" i="1"/>
  <c r="AG67" i="1"/>
  <c r="AH67" i="1"/>
  <c r="AI67" i="1"/>
  <c r="AJ67" i="1"/>
  <c r="AK67" i="1"/>
  <c r="AE68" i="1"/>
  <c r="AF68" i="1"/>
  <c r="AG68" i="1"/>
  <c r="AH68" i="1"/>
  <c r="AI68" i="1"/>
  <c r="AJ68" i="1"/>
  <c r="AK68" i="1"/>
  <c r="AE69" i="1"/>
  <c r="AF69" i="1"/>
  <c r="AG69" i="1"/>
  <c r="AH69" i="1"/>
  <c r="AI69" i="1"/>
  <c r="AJ69" i="1"/>
  <c r="AK69" i="1"/>
  <c r="AE70" i="1"/>
  <c r="AF70" i="1"/>
  <c r="AG70" i="1"/>
  <c r="AH70" i="1"/>
  <c r="AI70" i="1"/>
  <c r="AJ70" i="1"/>
  <c r="AK70" i="1"/>
  <c r="AE71" i="1"/>
  <c r="AF71" i="1"/>
  <c r="AG71" i="1"/>
  <c r="AH71" i="1"/>
  <c r="AI71" i="1"/>
  <c r="AJ71" i="1"/>
  <c r="AK71" i="1"/>
  <c r="AE72" i="1"/>
  <c r="AF72" i="1"/>
  <c r="AG72" i="1"/>
  <c r="AH72" i="1"/>
  <c r="AI72" i="1"/>
  <c r="AJ72" i="1"/>
  <c r="AK72" i="1"/>
  <c r="AK3" i="1"/>
  <c r="AJ3" i="1"/>
  <c r="AI3" i="1"/>
  <c r="AH3" i="1"/>
  <c r="AG3" i="1"/>
  <c r="AF3" i="1"/>
  <c r="AE3" i="1"/>
  <c r="I160" i="4" l="1"/>
  <c r="I156" i="4"/>
  <c r="I152" i="4"/>
  <c r="I138" i="4"/>
  <c r="I134" i="4"/>
  <c r="I130" i="4"/>
  <c r="I131" i="4"/>
  <c r="I115" i="4"/>
  <c r="I110" i="4"/>
  <c r="I105" i="4"/>
  <c r="I88" i="4"/>
  <c r="I83" i="4"/>
  <c r="I78" i="4"/>
  <c r="I61" i="4"/>
  <c r="I56" i="4"/>
  <c r="I51" i="4"/>
  <c r="H160" i="4"/>
  <c r="H156" i="4"/>
  <c r="H152" i="4"/>
  <c r="H138" i="4"/>
  <c r="H134" i="4"/>
  <c r="H130" i="4"/>
  <c r="H115" i="4"/>
  <c r="H110" i="4"/>
  <c r="H105" i="4"/>
  <c r="H88" i="4"/>
  <c r="H83" i="4"/>
  <c r="H78" i="4"/>
  <c r="H61" i="4"/>
  <c r="H56" i="4"/>
  <c r="H51" i="4"/>
  <c r="G160" i="4"/>
  <c r="G156" i="4"/>
  <c r="G152" i="4"/>
  <c r="G138" i="4"/>
  <c r="G134" i="4"/>
  <c r="G130" i="4"/>
  <c r="G115" i="4"/>
  <c r="G110" i="4"/>
  <c r="G105" i="4"/>
  <c r="G88" i="4"/>
  <c r="G83" i="4"/>
  <c r="G78" i="4"/>
  <c r="G61" i="4"/>
  <c r="G56" i="4"/>
  <c r="G51" i="4"/>
  <c r="I33" i="4"/>
  <c r="I27" i="4"/>
  <c r="I21" i="4"/>
  <c r="H33" i="4"/>
  <c r="H27" i="4"/>
  <c r="H21" i="4"/>
  <c r="G33" i="4"/>
  <c r="G27" i="4"/>
  <c r="G21" i="4"/>
  <c r="G22" i="4"/>
  <c r="C157" i="4" l="1"/>
  <c r="D157" i="4"/>
  <c r="E157" i="4"/>
  <c r="F157" i="4"/>
  <c r="G157" i="4"/>
  <c r="H157" i="4"/>
  <c r="I157" i="4"/>
  <c r="D156" i="4"/>
  <c r="E156" i="4"/>
  <c r="F156" i="4"/>
  <c r="C156" i="4"/>
  <c r="C135" i="4"/>
  <c r="D135" i="4"/>
  <c r="E135" i="4"/>
  <c r="F135" i="4"/>
  <c r="G135" i="4"/>
  <c r="H135" i="4"/>
  <c r="I135" i="4"/>
  <c r="D134" i="4"/>
  <c r="E134" i="4"/>
  <c r="F134" i="4"/>
  <c r="C134" i="4"/>
  <c r="C111" i="4"/>
  <c r="D111" i="4"/>
  <c r="E111" i="4"/>
  <c r="F111" i="4"/>
  <c r="G111" i="4"/>
  <c r="H111" i="4"/>
  <c r="I111" i="4"/>
  <c r="D112" i="4"/>
  <c r="E112" i="4"/>
  <c r="F112" i="4"/>
  <c r="G112" i="4"/>
  <c r="H112" i="4"/>
  <c r="I112" i="4"/>
  <c r="D110" i="4"/>
  <c r="E110" i="4"/>
  <c r="F110" i="4"/>
  <c r="C110" i="4"/>
  <c r="C84" i="4"/>
  <c r="D84" i="4"/>
  <c r="E84" i="4"/>
  <c r="F84" i="4"/>
  <c r="G84" i="4"/>
  <c r="H84" i="4"/>
  <c r="I84" i="4"/>
  <c r="C85" i="4"/>
  <c r="D85" i="4"/>
  <c r="E85" i="4"/>
  <c r="F85" i="4"/>
  <c r="G85" i="4"/>
  <c r="H85" i="4"/>
  <c r="I85" i="4"/>
  <c r="D83" i="4"/>
  <c r="E83" i="4"/>
  <c r="F83" i="4"/>
  <c r="C83" i="4"/>
  <c r="C57" i="4"/>
  <c r="D57" i="4"/>
  <c r="E57" i="4"/>
  <c r="F57" i="4"/>
  <c r="G57" i="4"/>
  <c r="H57" i="4"/>
  <c r="I57" i="4"/>
  <c r="D58" i="4"/>
  <c r="E58" i="4"/>
  <c r="F58" i="4"/>
  <c r="G58" i="4"/>
  <c r="H58" i="4"/>
  <c r="I58" i="4"/>
  <c r="D56" i="4"/>
  <c r="E56" i="4"/>
  <c r="F56" i="4"/>
  <c r="C56" i="4"/>
  <c r="C161" i="4"/>
  <c r="D161" i="4"/>
  <c r="E161" i="4"/>
  <c r="F161" i="4"/>
  <c r="G161" i="4"/>
  <c r="H161" i="4"/>
  <c r="I161" i="4"/>
  <c r="D160" i="4"/>
  <c r="E160" i="4"/>
  <c r="F160" i="4"/>
  <c r="C160" i="4"/>
  <c r="C139" i="4"/>
  <c r="D139" i="4"/>
  <c r="E139" i="4"/>
  <c r="F139" i="4"/>
  <c r="G139" i="4"/>
  <c r="H139" i="4"/>
  <c r="I139" i="4"/>
  <c r="D138" i="4"/>
  <c r="E138" i="4"/>
  <c r="F138" i="4"/>
  <c r="C138" i="4"/>
  <c r="C116" i="4"/>
  <c r="D116" i="4"/>
  <c r="E116" i="4"/>
  <c r="F116" i="4"/>
  <c r="G116" i="4"/>
  <c r="H116" i="4"/>
  <c r="I116" i="4"/>
  <c r="D117" i="4"/>
  <c r="E117" i="4"/>
  <c r="F117" i="4"/>
  <c r="G117" i="4"/>
  <c r="H117" i="4"/>
  <c r="I117" i="4"/>
  <c r="D115" i="4"/>
  <c r="E115" i="4"/>
  <c r="F115" i="4"/>
  <c r="C115" i="4"/>
  <c r="C89" i="4"/>
  <c r="D89" i="4"/>
  <c r="E89" i="4"/>
  <c r="F89" i="4"/>
  <c r="G89" i="4"/>
  <c r="H89" i="4"/>
  <c r="I89" i="4"/>
  <c r="C90" i="4"/>
  <c r="D90" i="4"/>
  <c r="E90" i="4"/>
  <c r="F90" i="4"/>
  <c r="G90" i="4"/>
  <c r="H90" i="4"/>
  <c r="I90" i="4"/>
  <c r="D88" i="4"/>
  <c r="E88" i="4"/>
  <c r="F88" i="4"/>
  <c r="C88" i="4"/>
  <c r="C52" i="4"/>
  <c r="D52" i="4"/>
  <c r="E52" i="4"/>
  <c r="F52" i="4"/>
  <c r="G52" i="4"/>
  <c r="H52" i="4"/>
  <c r="I52" i="4"/>
  <c r="D53" i="4"/>
  <c r="E53" i="4"/>
  <c r="F53" i="4"/>
  <c r="G53" i="4"/>
  <c r="H53" i="4"/>
  <c r="I53" i="4"/>
  <c r="C62" i="4"/>
  <c r="D62" i="4"/>
  <c r="E62" i="4"/>
  <c r="F62" i="4"/>
  <c r="G62" i="4"/>
  <c r="H62" i="4"/>
  <c r="I62" i="4"/>
  <c r="D63" i="4"/>
  <c r="E63" i="4"/>
  <c r="F63" i="4"/>
  <c r="G63" i="4"/>
  <c r="H63" i="4"/>
  <c r="I63" i="4"/>
  <c r="D61" i="4"/>
  <c r="E61" i="4"/>
  <c r="F61" i="4"/>
  <c r="C61" i="4"/>
  <c r="C153" i="4"/>
  <c r="D153" i="4"/>
  <c r="E153" i="4"/>
  <c r="F153" i="4"/>
  <c r="G153" i="4"/>
  <c r="H153" i="4"/>
  <c r="I153" i="4"/>
  <c r="D152" i="4"/>
  <c r="E152" i="4"/>
  <c r="F152" i="4"/>
  <c r="C152" i="4"/>
  <c r="C131" i="4"/>
  <c r="D131" i="4"/>
  <c r="E131" i="4"/>
  <c r="F131" i="4"/>
  <c r="G131" i="4"/>
  <c r="H131" i="4"/>
  <c r="D130" i="4"/>
  <c r="E130" i="4"/>
  <c r="F130" i="4"/>
  <c r="C130" i="4"/>
  <c r="C106" i="4"/>
  <c r="D106" i="4"/>
  <c r="E106" i="4"/>
  <c r="F106" i="4"/>
  <c r="G106" i="4"/>
  <c r="H106" i="4"/>
  <c r="I106" i="4"/>
  <c r="D107" i="4"/>
  <c r="E107" i="4"/>
  <c r="F107" i="4"/>
  <c r="G107" i="4"/>
  <c r="H107" i="4"/>
  <c r="I107" i="4"/>
  <c r="D105" i="4"/>
  <c r="E105" i="4"/>
  <c r="F105" i="4"/>
  <c r="C105" i="4"/>
  <c r="C79" i="4"/>
  <c r="D79" i="4"/>
  <c r="E79" i="4"/>
  <c r="F79" i="4"/>
  <c r="G79" i="4"/>
  <c r="H79" i="4"/>
  <c r="I79" i="4"/>
  <c r="C80" i="4"/>
  <c r="D80" i="4"/>
  <c r="E80" i="4"/>
  <c r="F80" i="4"/>
  <c r="G80" i="4"/>
  <c r="H80" i="4"/>
  <c r="I80" i="4"/>
  <c r="D78" i="4"/>
  <c r="E78" i="4"/>
  <c r="F78" i="4"/>
  <c r="C78" i="4"/>
  <c r="D51" i="4"/>
  <c r="E51" i="4"/>
  <c r="F51" i="4"/>
  <c r="C51" i="4"/>
  <c r="D28" i="4"/>
  <c r="E28" i="4"/>
  <c r="F28" i="4"/>
  <c r="G28" i="4"/>
  <c r="H28" i="4"/>
  <c r="I28" i="4"/>
  <c r="D29" i="4"/>
  <c r="E29" i="4"/>
  <c r="F29" i="4"/>
  <c r="G29" i="4"/>
  <c r="H29" i="4"/>
  <c r="I29" i="4"/>
  <c r="D30" i="4"/>
  <c r="E30" i="4"/>
  <c r="F30" i="4"/>
  <c r="G30" i="4"/>
  <c r="H30" i="4"/>
  <c r="I30" i="4"/>
  <c r="D27" i="4"/>
  <c r="E27" i="4"/>
  <c r="F27" i="4"/>
  <c r="C29" i="4"/>
  <c r="C30" i="4"/>
  <c r="C27" i="4"/>
  <c r="D34" i="4"/>
  <c r="E34" i="4"/>
  <c r="F34" i="4"/>
  <c r="G34" i="4"/>
  <c r="H34" i="4"/>
  <c r="I34" i="4"/>
  <c r="D35" i="4"/>
  <c r="E35" i="4"/>
  <c r="F35" i="4"/>
  <c r="G35" i="4"/>
  <c r="H35" i="4"/>
  <c r="I35" i="4"/>
  <c r="D36" i="4"/>
  <c r="E36" i="4"/>
  <c r="F36" i="4"/>
  <c r="G36" i="4"/>
  <c r="H36" i="4"/>
  <c r="I36" i="4"/>
  <c r="D33" i="4"/>
  <c r="E33" i="4"/>
  <c r="F33" i="4"/>
  <c r="C35" i="4"/>
  <c r="C36" i="4"/>
  <c r="C33" i="4"/>
  <c r="D22" i="4"/>
  <c r="E22" i="4"/>
  <c r="F22" i="4"/>
  <c r="H22" i="4"/>
  <c r="I22" i="4"/>
  <c r="D23" i="4"/>
  <c r="E23" i="4"/>
  <c r="F23" i="4"/>
  <c r="G23" i="4"/>
  <c r="H23" i="4"/>
  <c r="I23" i="4"/>
  <c r="D24" i="4"/>
  <c r="E24" i="4"/>
  <c r="F24" i="4"/>
  <c r="G24" i="4"/>
  <c r="H24" i="4"/>
  <c r="I24" i="4"/>
  <c r="D21" i="4"/>
  <c r="E21" i="4"/>
  <c r="F21" i="4"/>
  <c r="C23" i="4"/>
  <c r="C24" i="4"/>
  <c r="C21" i="4"/>
  <c r="AA4" i="1" l="1"/>
  <c r="AA5" i="1"/>
  <c r="AA6" i="1"/>
  <c r="AA7" i="1"/>
  <c r="AA8" i="1"/>
  <c r="AA9" i="1"/>
  <c r="AA10" i="1"/>
  <c r="AA11" i="1"/>
  <c r="AA12" i="1"/>
  <c r="AA13" i="1"/>
  <c r="AA14" i="1"/>
  <c r="AA16" i="1"/>
  <c r="AA15" i="1"/>
  <c r="AA17" i="1"/>
  <c r="AA18" i="1"/>
  <c r="AA19" i="1"/>
  <c r="AA20" i="1"/>
  <c r="AA21" i="1"/>
  <c r="AA22" i="1"/>
  <c r="AA23" i="1"/>
  <c r="AA24" i="1"/>
  <c r="AA25" i="1"/>
  <c r="AA27" i="1"/>
  <c r="AA26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R4" i="1"/>
  <c r="S4" i="1"/>
  <c r="T4" i="1"/>
  <c r="U4" i="1"/>
  <c r="V4" i="1"/>
  <c r="W4" i="1"/>
  <c r="X4" i="1"/>
  <c r="R5" i="1"/>
  <c r="S5" i="1"/>
  <c r="T5" i="1"/>
  <c r="U5" i="1"/>
  <c r="V5" i="1"/>
  <c r="W5" i="1"/>
  <c r="X5" i="1"/>
  <c r="R6" i="1"/>
  <c r="S6" i="1"/>
  <c r="T6" i="1"/>
  <c r="U6" i="1"/>
  <c r="V6" i="1"/>
  <c r="W6" i="1"/>
  <c r="X6" i="1"/>
  <c r="R7" i="1"/>
  <c r="S7" i="1"/>
  <c r="T7" i="1"/>
  <c r="U7" i="1"/>
  <c r="V7" i="1"/>
  <c r="W7" i="1"/>
  <c r="X7" i="1"/>
  <c r="R8" i="1"/>
  <c r="S8" i="1"/>
  <c r="T8" i="1"/>
  <c r="U8" i="1"/>
  <c r="V8" i="1"/>
  <c r="W8" i="1"/>
  <c r="X8" i="1"/>
  <c r="R9" i="1"/>
  <c r="S9" i="1"/>
  <c r="T9" i="1"/>
  <c r="U9" i="1"/>
  <c r="V9" i="1"/>
  <c r="W9" i="1"/>
  <c r="X9" i="1"/>
  <c r="R10" i="1"/>
  <c r="S10" i="1"/>
  <c r="T10" i="1"/>
  <c r="U10" i="1"/>
  <c r="V10" i="1"/>
  <c r="W10" i="1"/>
  <c r="X10" i="1"/>
  <c r="R11" i="1"/>
  <c r="S11" i="1"/>
  <c r="T11" i="1"/>
  <c r="U11" i="1"/>
  <c r="V11" i="1"/>
  <c r="W11" i="1"/>
  <c r="X11" i="1"/>
  <c r="R12" i="1"/>
  <c r="S12" i="1"/>
  <c r="T12" i="1"/>
  <c r="U12" i="1"/>
  <c r="V12" i="1"/>
  <c r="W12" i="1"/>
  <c r="X12" i="1"/>
  <c r="R13" i="1"/>
  <c r="S13" i="1"/>
  <c r="T13" i="1"/>
  <c r="U13" i="1"/>
  <c r="V13" i="1"/>
  <c r="W13" i="1"/>
  <c r="X13" i="1"/>
  <c r="R14" i="1"/>
  <c r="S14" i="1"/>
  <c r="T14" i="1"/>
  <c r="U14" i="1"/>
  <c r="V14" i="1"/>
  <c r="W14" i="1"/>
  <c r="X14" i="1"/>
  <c r="R16" i="1"/>
  <c r="S16" i="1"/>
  <c r="T16" i="1"/>
  <c r="U16" i="1"/>
  <c r="V16" i="1"/>
  <c r="W16" i="1"/>
  <c r="X16" i="1"/>
  <c r="R15" i="1"/>
  <c r="S15" i="1"/>
  <c r="T15" i="1"/>
  <c r="U15" i="1"/>
  <c r="V15" i="1"/>
  <c r="W15" i="1"/>
  <c r="X15" i="1"/>
  <c r="R17" i="1"/>
  <c r="S17" i="1"/>
  <c r="T17" i="1"/>
  <c r="U17" i="1"/>
  <c r="V17" i="1"/>
  <c r="W17" i="1"/>
  <c r="X17" i="1"/>
  <c r="R18" i="1"/>
  <c r="S18" i="1"/>
  <c r="T18" i="1"/>
  <c r="U18" i="1"/>
  <c r="V18" i="1"/>
  <c r="W18" i="1"/>
  <c r="X18" i="1"/>
  <c r="R19" i="1"/>
  <c r="S19" i="1"/>
  <c r="T19" i="1"/>
  <c r="U19" i="1"/>
  <c r="V19" i="1"/>
  <c r="W19" i="1"/>
  <c r="X19" i="1"/>
  <c r="R20" i="1"/>
  <c r="S20" i="1"/>
  <c r="T20" i="1"/>
  <c r="U20" i="1"/>
  <c r="V20" i="1"/>
  <c r="W20" i="1"/>
  <c r="X20" i="1"/>
  <c r="R21" i="1"/>
  <c r="S21" i="1"/>
  <c r="T21" i="1"/>
  <c r="U21" i="1"/>
  <c r="V21" i="1"/>
  <c r="W21" i="1"/>
  <c r="X21" i="1"/>
  <c r="R22" i="1"/>
  <c r="S22" i="1"/>
  <c r="T22" i="1"/>
  <c r="U22" i="1"/>
  <c r="V22" i="1"/>
  <c r="W22" i="1"/>
  <c r="X22" i="1"/>
  <c r="R23" i="1"/>
  <c r="S23" i="1"/>
  <c r="T23" i="1"/>
  <c r="U23" i="1"/>
  <c r="V23" i="1"/>
  <c r="W23" i="1"/>
  <c r="X23" i="1"/>
  <c r="R24" i="1"/>
  <c r="S24" i="1"/>
  <c r="T24" i="1"/>
  <c r="U24" i="1"/>
  <c r="V24" i="1"/>
  <c r="W24" i="1"/>
  <c r="X24" i="1"/>
  <c r="R25" i="1"/>
  <c r="S25" i="1"/>
  <c r="T25" i="1"/>
  <c r="U25" i="1"/>
  <c r="V25" i="1"/>
  <c r="W25" i="1"/>
  <c r="X25" i="1"/>
  <c r="R27" i="1"/>
  <c r="S27" i="1"/>
  <c r="T27" i="1"/>
  <c r="U27" i="1"/>
  <c r="V27" i="1"/>
  <c r="W27" i="1"/>
  <c r="X27" i="1"/>
  <c r="R26" i="1"/>
  <c r="S26" i="1"/>
  <c r="T26" i="1"/>
  <c r="U26" i="1"/>
  <c r="V26" i="1"/>
  <c r="W26" i="1"/>
  <c r="X26" i="1"/>
  <c r="R28" i="1"/>
  <c r="S28" i="1"/>
  <c r="T28" i="1"/>
  <c r="U28" i="1"/>
  <c r="V28" i="1"/>
  <c r="W28" i="1"/>
  <c r="X28" i="1"/>
  <c r="R29" i="1"/>
  <c r="S29" i="1"/>
  <c r="T29" i="1"/>
  <c r="U29" i="1"/>
  <c r="V29" i="1"/>
  <c r="W29" i="1"/>
  <c r="X29" i="1"/>
  <c r="R30" i="1"/>
  <c r="S30" i="1"/>
  <c r="T30" i="1"/>
  <c r="U30" i="1"/>
  <c r="V30" i="1"/>
  <c r="W30" i="1"/>
  <c r="X30" i="1"/>
  <c r="R31" i="1"/>
  <c r="S31" i="1"/>
  <c r="T31" i="1"/>
  <c r="U31" i="1"/>
  <c r="V31" i="1"/>
  <c r="W31" i="1"/>
  <c r="X31" i="1"/>
  <c r="R32" i="1"/>
  <c r="S32" i="1"/>
  <c r="T32" i="1"/>
  <c r="U32" i="1"/>
  <c r="V32" i="1"/>
  <c r="W32" i="1"/>
  <c r="X32" i="1"/>
  <c r="R33" i="1"/>
  <c r="S33" i="1"/>
  <c r="T33" i="1"/>
  <c r="U33" i="1"/>
  <c r="V33" i="1"/>
  <c r="W33" i="1"/>
  <c r="X33" i="1"/>
  <c r="R34" i="1"/>
  <c r="S34" i="1"/>
  <c r="T34" i="1"/>
  <c r="U34" i="1"/>
  <c r="V34" i="1"/>
  <c r="W34" i="1"/>
  <c r="X34" i="1"/>
  <c r="R35" i="1"/>
  <c r="S35" i="1"/>
  <c r="T35" i="1"/>
  <c r="U35" i="1"/>
  <c r="V35" i="1"/>
  <c r="W35" i="1"/>
  <c r="X35" i="1"/>
  <c r="R36" i="1"/>
  <c r="S36" i="1"/>
  <c r="T36" i="1"/>
  <c r="U36" i="1"/>
  <c r="V36" i="1"/>
  <c r="W36" i="1"/>
  <c r="X36" i="1"/>
  <c r="R37" i="1"/>
  <c r="S37" i="1"/>
  <c r="T37" i="1"/>
  <c r="U37" i="1"/>
  <c r="V37" i="1"/>
  <c r="W37" i="1"/>
  <c r="X37" i="1"/>
  <c r="R38" i="1"/>
  <c r="S38" i="1"/>
  <c r="T38" i="1"/>
  <c r="U38" i="1"/>
  <c r="V38" i="1"/>
  <c r="W38" i="1"/>
  <c r="X38" i="1"/>
  <c r="R39" i="1"/>
  <c r="S39" i="1"/>
  <c r="T39" i="1"/>
  <c r="U39" i="1"/>
  <c r="V39" i="1"/>
  <c r="W39" i="1"/>
  <c r="X39" i="1"/>
  <c r="R40" i="1"/>
  <c r="S40" i="1"/>
  <c r="T40" i="1"/>
  <c r="U40" i="1"/>
  <c r="V40" i="1"/>
  <c r="W40" i="1"/>
  <c r="X40" i="1"/>
  <c r="R41" i="1"/>
  <c r="S41" i="1"/>
  <c r="T41" i="1"/>
  <c r="U41" i="1"/>
  <c r="V41" i="1"/>
  <c r="W41" i="1"/>
  <c r="X41" i="1"/>
  <c r="R42" i="1"/>
  <c r="S42" i="1"/>
  <c r="T42" i="1"/>
  <c r="U42" i="1"/>
  <c r="V42" i="1"/>
  <c r="W42" i="1"/>
  <c r="X42" i="1"/>
  <c r="R43" i="1"/>
  <c r="S43" i="1"/>
  <c r="T43" i="1"/>
  <c r="U43" i="1"/>
  <c r="V43" i="1"/>
  <c r="W43" i="1"/>
  <c r="X43" i="1"/>
  <c r="R44" i="1"/>
  <c r="S44" i="1"/>
  <c r="T44" i="1"/>
  <c r="U44" i="1"/>
  <c r="V44" i="1"/>
  <c r="W44" i="1"/>
  <c r="X44" i="1"/>
  <c r="R45" i="1"/>
  <c r="S45" i="1"/>
  <c r="T45" i="1"/>
  <c r="U45" i="1"/>
  <c r="V45" i="1"/>
  <c r="W45" i="1"/>
  <c r="X45" i="1"/>
  <c r="R46" i="1"/>
  <c r="S46" i="1"/>
  <c r="T46" i="1"/>
  <c r="U46" i="1"/>
  <c r="V46" i="1"/>
  <c r="W46" i="1"/>
  <c r="X46" i="1"/>
  <c r="R47" i="1"/>
  <c r="S47" i="1"/>
  <c r="T47" i="1"/>
  <c r="U47" i="1"/>
  <c r="V47" i="1"/>
  <c r="W47" i="1"/>
  <c r="X47" i="1"/>
  <c r="R48" i="1"/>
  <c r="S48" i="1"/>
  <c r="T48" i="1"/>
  <c r="U48" i="1"/>
  <c r="V48" i="1"/>
  <c r="W48" i="1"/>
  <c r="X48" i="1"/>
  <c r="R49" i="1"/>
  <c r="S49" i="1"/>
  <c r="T49" i="1"/>
  <c r="U49" i="1"/>
  <c r="V49" i="1"/>
  <c r="W49" i="1"/>
  <c r="X49" i="1"/>
  <c r="R50" i="1"/>
  <c r="S50" i="1"/>
  <c r="T50" i="1"/>
  <c r="U50" i="1"/>
  <c r="V50" i="1"/>
  <c r="W50" i="1"/>
  <c r="X50" i="1"/>
  <c r="R51" i="1"/>
  <c r="S51" i="1"/>
  <c r="T51" i="1"/>
  <c r="U51" i="1"/>
  <c r="V51" i="1"/>
  <c r="W51" i="1"/>
  <c r="X51" i="1"/>
  <c r="R52" i="1"/>
  <c r="S52" i="1"/>
  <c r="T52" i="1"/>
  <c r="U52" i="1"/>
  <c r="V52" i="1"/>
  <c r="W52" i="1"/>
  <c r="X52" i="1"/>
  <c r="R53" i="1"/>
  <c r="S53" i="1"/>
  <c r="T53" i="1"/>
  <c r="U53" i="1"/>
  <c r="V53" i="1"/>
  <c r="W53" i="1"/>
  <c r="X53" i="1"/>
  <c r="R54" i="1"/>
  <c r="S54" i="1"/>
  <c r="T54" i="1"/>
  <c r="U54" i="1"/>
  <c r="V54" i="1"/>
  <c r="W54" i="1"/>
  <c r="X54" i="1"/>
  <c r="R55" i="1"/>
  <c r="S55" i="1"/>
  <c r="T55" i="1"/>
  <c r="U55" i="1"/>
  <c r="V55" i="1"/>
  <c r="W55" i="1"/>
  <c r="X55" i="1"/>
  <c r="R56" i="1"/>
  <c r="S56" i="1"/>
  <c r="T56" i="1"/>
  <c r="U56" i="1"/>
  <c r="V56" i="1"/>
  <c r="W56" i="1"/>
  <c r="X56" i="1"/>
  <c r="R57" i="1"/>
  <c r="S57" i="1"/>
  <c r="T57" i="1"/>
  <c r="U57" i="1"/>
  <c r="V57" i="1"/>
  <c r="W57" i="1"/>
  <c r="X57" i="1"/>
  <c r="R58" i="1"/>
  <c r="S58" i="1"/>
  <c r="T58" i="1"/>
  <c r="U58" i="1"/>
  <c r="V58" i="1"/>
  <c r="W58" i="1"/>
  <c r="X58" i="1"/>
  <c r="R59" i="1"/>
  <c r="S59" i="1"/>
  <c r="T59" i="1"/>
  <c r="U59" i="1"/>
  <c r="V59" i="1"/>
  <c r="W59" i="1"/>
  <c r="X59" i="1"/>
  <c r="R60" i="1"/>
  <c r="S60" i="1"/>
  <c r="T60" i="1"/>
  <c r="U60" i="1"/>
  <c r="V60" i="1"/>
  <c r="W60" i="1"/>
  <c r="X60" i="1"/>
  <c r="R61" i="1"/>
  <c r="S61" i="1"/>
  <c r="T61" i="1"/>
  <c r="U61" i="1"/>
  <c r="V61" i="1"/>
  <c r="W61" i="1"/>
  <c r="X61" i="1"/>
  <c r="R62" i="1"/>
  <c r="S62" i="1"/>
  <c r="T62" i="1"/>
  <c r="U62" i="1"/>
  <c r="V62" i="1"/>
  <c r="W62" i="1"/>
  <c r="X62" i="1"/>
  <c r="R63" i="1"/>
  <c r="S63" i="1"/>
  <c r="T63" i="1"/>
  <c r="U63" i="1"/>
  <c r="V63" i="1"/>
  <c r="W63" i="1"/>
  <c r="X63" i="1"/>
  <c r="R64" i="1"/>
  <c r="S64" i="1"/>
  <c r="T64" i="1"/>
  <c r="U64" i="1"/>
  <c r="V64" i="1"/>
  <c r="W64" i="1"/>
  <c r="X64" i="1"/>
  <c r="R65" i="1"/>
  <c r="S65" i="1"/>
  <c r="T65" i="1"/>
  <c r="U65" i="1"/>
  <c r="V65" i="1"/>
  <c r="W65" i="1"/>
  <c r="X65" i="1"/>
  <c r="R66" i="1"/>
  <c r="S66" i="1"/>
  <c r="T66" i="1"/>
  <c r="U66" i="1"/>
  <c r="V66" i="1"/>
  <c r="W66" i="1"/>
  <c r="X66" i="1"/>
  <c r="R67" i="1"/>
  <c r="S67" i="1"/>
  <c r="T67" i="1"/>
  <c r="U67" i="1"/>
  <c r="V67" i="1"/>
  <c r="W67" i="1"/>
  <c r="X67" i="1"/>
  <c r="R68" i="1"/>
  <c r="S68" i="1"/>
  <c r="T68" i="1"/>
  <c r="U68" i="1"/>
  <c r="V68" i="1"/>
  <c r="W68" i="1"/>
  <c r="X68" i="1"/>
  <c r="R69" i="1"/>
  <c r="S69" i="1"/>
  <c r="T69" i="1"/>
  <c r="U69" i="1"/>
  <c r="V69" i="1"/>
  <c r="W69" i="1"/>
  <c r="X69" i="1"/>
  <c r="R70" i="1"/>
  <c r="S70" i="1"/>
  <c r="T70" i="1"/>
  <c r="U70" i="1"/>
  <c r="V70" i="1"/>
  <c r="W70" i="1"/>
  <c r="X70" i="1"/>
  <c r="R71" i="1"/>
  <c r="S71" i="1"/>
  <c r="T71" i="1"/>
  <c r="U71" i="1"/>
  <c r="V71" i="1"/>
  <c r="W71" i="1"/>
  <c r="X71" i="1"/>
  <c r="R72" i="1"/>
  <c r="S72" i="1"/>
  <c r="T72" i="1"/>
  <c r="U72" i="1"/>
  <c r="V72" i="1"/>
  <c r="W72" i="1"/>
  <c r="X72" i="1"/>
  <c r="AA6" i="5"/>
  <c r="AA7" i="5"/>
  <c r="AA8" i="5"/>
  <c r="AA9" i="5"/>
  <c r="AA10" i="5"/>
  <c r="AA14" i="5"/>
  <c r="AA15" i="5"/>
  <c r="AA17" i="5"/>
  <c r="AA19" i="5"/>
  <c r="AA20" i="5"/>
  <c r="AA23" i="5"/>
  <c r="AA24" i="5"/>
  <c r="AA25" i="5"/>
  <c r="AA26" i="5"/>
  <c r="AA16" i="5"/>
  <c r="AA18" i="5"/>
  <c r="AA21" i="5"/>
  <c r="AA22" i="5"/>
  <c r="AA36" i="5"/>
  <c r="AA31" i="5"/>
  <c r="AA37" i="5"/>
  <c r="AA34" i="5"/>
  <c r="AA39" i="5"/>
  <c r="AA32" i="5"/>
  <c r="AA38" i="5"/>
  <c r="AA35" i="5"/>
  <c r="AA33" i="5"/>
  <c r="AA30" i="5"/>
  <c r="AA45" i="5"/>
  <c r="AA43" i="5"/>
  <c r="AA47" i="5"/>
  <c r="AA46" i="5"/>
  <c r="AA44" i="5"/>
  <c r="AA5" i="5"/>
  <c r="X6" i="5"/>
  <c r="X7" i="5"/>
  <c r="X8" i="5"/>
  <c r="X9" i="5"/>
  <c r="X10" i="5"/>
  <c r="X14" i="5"/>
  <c r="X15" i="5"/>
  <c r="X17" i="5"/>
  <c r="X19" i="5"/>
  <c r="X20" i="5"/>
  <c r="X23" i="5"/>
  <c r="X24" i="5"/>
  <c r="X25" i="5"/>
  <c r="X26" i="5"/>
  <c r="X16" i="5"/>
  <c r="X18" i="5"/>
  <c r="X21" i="5"/>
  <c r="X22" i="5"/>
  <c r="X36" i="5"/>
  <c r="X31" i="5"/>
  <c r="X37" i="5"/>
  <c r="X34" i="5"/>
  <c r="X39" i="5"/>
  <c r="X32" i="5"/>
  <c r="X38" i="5"/>
  <c r="X35" i="5"/>
  <c r="X33" i="5"/>
  <c r="X30" i="5"/>
  <c r="X45" i="5"/>
  <c r="X43" i="5"/>
  <c r="X47" i="5"/>
  <c r="X46" i="5"/>
  <c r="X44" i="5"/>
  <c r="X5" i="5"/>
  <c r="W6" i="5"/>
  <c r="W7" i="5"/>
  <c r="W8" i="5"/>
  <c r="W9" i="5"/>
  <c r="W10" i="5"/>
  <c r="W14" i="5"/>
  <c r="W15" i="5"/>
  <c r="W17" i="5"/>
  <c r="W19" i="5"/>
  <c r="W20" i="5"/>
  <c r="W23" i="5"/>
  <c r="W24" i="5"/>
  <c r="W25" i="5"/>
  <c r="W26" i="5"/>
  <c r="W16" i="5"/>
  <c r="W18" i="5"/>
  <c r="W21" i="5"/>
  <c r="W22" i="5"/>
  <c r="W36" i="5"/>
  <c r="W31" i="5"/>
  <c r="W37" i="5"/>
  <c r="W34" i="5"/>
  <c r="W39" i="5"/>
  <c r="W32" i="5"/>
  <c r="W38" i="5"/>
  <c r="W35" i="5"/>
  <c r="W33" i="5"/>
  <c r="W30" i="5"/>
  <c r="W45" i="5"/>
  <c r="W43" i="5"/>
  <c r="W47" i="5"/>
  <c r="W46" i="5"/>
  <c r="W44" i="5"/>
  <c r="W5" i="5"/>
  <c r="V6" i="5"/>
  <c r="V7" i="5"/>
  <c r="V8" i="5"/>
  <c r="V9" i="5"/>
  <c r="V10" i="5"/>
  <c r="V14" i="5"/>
  <c r="V15" i="5"/>
  <c r="V17" i="5"/>
  <c r="V19" i="5"/>
  <c r="V20" i="5"/>
  <c r="V23" i="5"/>
  <c r="V24" i="5"/>
  <c r="V25" i="5"/>
  <c r="V26" i="5"/>
  <c r="V16" i="5"/>
  <c r="V18" i="5"/>
  <c r="V21" i="5"/>
  <c r="V22" i="5"/>
  <c r="V36" i="5"/>
  <c r="V31" i="5"/>
  <c r="V37" i="5"/>
  <c r="V34" i="5"/>
  <c r="V39" i="5"/>
  <c r="V32" i="5"/>
  <c r="V38" i="5"/>
  <c r="V35" i="5"/>
  <c r="V33" i="5"/>
  <c r="V30" i="5"/>
  <c r="V45" i="5"/>
  <c r="V43" i="5"/>
  <c r="V47" i="5"/>
  <c r="V46" i="5"/>
  <c r="V44" i="5"/>
  <c r="V5" i="5"/>
  <c r="U6" i="5"/>
  <c r="U7" i="5"/>
  <c r="U8" i="5"/>
  <c r="U9" i="5"/>
  <c r="U10" i="5"/>
  <c r="U14" i="5"/>
  <c r="U15" i="5"/>
  <c r="U17" i="5"/>
  <c r="U19" i="5"/>
  <c r="U20" i="5"/>
  <c r="U23" i="5"/>
  <c r="U24" i="5"/>
  <c r="U25" i="5"/>
  <c r="U26" i="5"/>
  <c r="U16" i="5"/>
  <c r="U18" i="5"/>
  <c r="U21" i="5"/>
  <c r="U22" i="5"/>
  <c r="U36" i="5"/>
  <c r="U31" i="5"/>
  <c r="U37" i="5"/>
  <c r="U34" i="5"/>
  <c r="U39" i="5"/>
  <c r="U32" i="5"/>
  <c r="U38" i="5"/>
  <c r="U35" i="5"/>
  <c r="U33" i="5"/>
  <c r="U30" i="5"/>
  <c r="U45" i="5"/>
  <c r="U43" i="5"/>
  <c r="U47" i="5"/>
  <c r="U46" i="5"/>
  <c r="U44" i="5"/>
  <c r="U5" i="5"/>
  <c r="T6" i="5"/>
  <c r="T7" i="5"/>
  <c r="T8" i="5"/>
  <c r="T9" i="5"/>
  <c r="T10" i="5"/>
  <c r="T14" i="5"/>
  <c r="T15" i="5"/>
  <c r="T17" i="5"/>
  <c r="T19" i="5"/>
  <c r="T20" i="5"/>
  <c r="T23" i="5"/>
  <c r="T24" i="5"/>
  <c r="T25" i="5"/>
  <c r="T26" i="5"/>
  <c r="T16" i="5"/>
  <c r="T18" i="5"/>
  <c r="T21" i="5"/>
  <c r="T22" i="5"/>
  <c r="T36" i="5"/>
  <c r="T31" i="5"/>
  <c r="T37" i="5"/>
  <c r="T34" i="5"/>
  <c r="T39" i="5"/>
  <c r="T32" i="5"/>
  <c r="T38" i="5"/>
  <c r="T35" i="5"/>
  <c r="T33" i="5"/>
  <c r="T30" i="5"/>
  <c r="T45" i="5"/>
  <c r="T43" i="5"/>
  <c r="T47" i="5"/>
  <c r="T46" i="5"/>
  <c r="T44" i="5"/>
  <c r="T5" i="5"/>
  <c r="R6" i="5"/>
  <c r="R7" i="5"/>
  <c r="R8" i="5"/>
  <c r="R9" i="5"/>
  <c r="R10" i="5"/>
  <c r="R14" i="5"/>
  <c r="R15" i="5"/>
  <c r="R17" i="5"/>
  <c r="R19" i="5"/>
  <c r="R20" i="5"/>
  <c r="R23" i="5"/>
  <c r="R24" i="5"/>
  <c r="R25" i="5"/>
  <c r="R26" i="5"/>
  <c r="R16" i="5"/>
  <c r="R18" i="5"/>
  <c r="R21" i="5"/>
  <c r="R22" i="5"/>
  <c r="R36" i="5"/>
  <c r="R31" i="5"/>
  <c r="R37" i="5"/>
  <c r="R34" i="5"/>
  <c r="R39" i="5"/>
  <c r="R32" i="5"/>
  <c r="R38" i="5"/>
  <c r="R35" i="5"/>
  <c r="R33" i="5"/>
  <c r="R30" i="5"/>
  <c r="R45" i="5"/>
  <c r="R43" i="5"/>
  <c r="R47" i="5"/>
  <c r="R46" i="5"/>
  <c r="R44" i="5"/>
  <c r="R5" i="5"/>
  <c r="Q6" i="5"/>
  <c r="Q7" i="5"/>
  <c r="Q8" i="5"/>
  <c r="Q9" i="5"/>
  <c r="Q10" i="5"/>
  <c r="Q14" i="5"/>
  <c r="Q15" i="5"/>
  <c r="Q17" i="5"/>
  <c r="Q19" i="5"/>
  <c r="Q20" i="5"/>
  <c r="Q23" i="5"/>
  <c r="Q24" i="5"/>
  <c r="Q25" i="5"/>
  <c r="Q26" i="5"/>
  <c r="Q16" i="5"/>
  <c r="Q18" i="5"/>
  <c r="Q21" i="5"/>
  <c r="Q22" i="5"/>
  <c r="Q36" i="5"/>
  <c r="Q31" i="5"/>
  <c r="Q37" i="5"/>
  <c r="Q34" i="5"/>
  <c r="Q39" i="5"/>
  <c r="Q32" i="5"/>
  <c r="Q38" i="5"/>
  <c r="Q35" i="5"/>
  <c r="Q33" i="5"/>
  <c r="Q30" i="5"/>
  <c r="Q45" i="5"/>
  <c r="Q43" i="5"/>
  <c r="Q47" i="5"/>
  <c r="Q46" i="5"/>
  <c r="Q44" i="5"/>
  <c r="Q5" i="5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3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Y4" i="6"/>
  <c r="AD4" i="6" s="1"/>
  <c r="Y5" i="6"/>
  <c r="AD5" i="6" s="1"/>
  <c r="Y6" i="6"/>
  <c r="AD6" i="6" s="1"/>
  <c r="Y7" i="6"/>
  <c r="AD7" i="6" s="1"/>
  <c r="Y8" i="6"/>
  <c r="AD8" i="6" s="1"/>
  <c r="Y9" i="6"/>
  <c r="AD9" i="6" s="1"/>
  <c r="Y10" i="6"/>
  <c r="AD10" i="6" s="1"/>
  <c r="Y11" i="6"/>
  <c r="AD11" i="6" s="1"/>
  <c r="Y12" i="6"/>
  <c r="AD12" i="6" s="1"/>
  <c r="Y13" i="6"/>
  <c r="AD13" i="6" s="1"/>
  <c r="Y14" i="6"/>
  <c r="AD14" i="6" s="1"/>
  <c r="Y15" i="6"/>
  <c r="AD15" i="6" s="1"/>
  <c r="Y16" i="6"/>
  <c r="AD16" i="6" s="1"/>
  <c r="Y17" i="6"/>
  <c r="AD17" i="6" s="1"/>
  <c r="Y18" i="6"/>
  <c r="AD18" i="6" s="1"/>
  <c r="Y19" i="6"/>
  <c r="AD19" i="6" s="1"/>
  <c r="Y20" i="6"/>
  <c r="AD20" i="6" s="1"/>
  <c r="Y21" i="6"/>
  <c r="AD21" i="6" s="1"/>
  <c r="Y22" i="6"/>
  <c r="AD22" i="6" s="1"/>
  <c r="Y23" i="6"/>
  <c r="AD23" i="6" s="1"/>
  <c r="Y24" i="6"/>
  <c r="AD24" i="6" s="1"/>
  <c r="Y25" i="6"/>
  <c r="AD25" i="6" s="1"/>
  <c r="Y26" i="6"/>
  <c r="AD26" i="6" s="1"/>
  <c r="Y27" i="6"/>
  <c r="AD27" i="6" s="1"/>
  <c r="Z3" i="6"/>
  <c r="Y3" i="6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3" i="6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3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T3" i="6"/>
  <c r="S3" i="6"/>
  <c r="AB44" i="5" l="1"/>
  <c r="AP72" i="1"/>
  <c r="AT72" i="1"/>
  <c r="AO72" i="1"/>
  <c r="AQ72" i="1"/>
  <c r="AR72" i="1"/>
  <c r="AN72" i="1"/>
  <c r="AS72" i="1"/>
  <c r="AP68" i="1"/>
  <c r="AT68" i="1"/>
  <c r="AQ68" i="1"/>
  <c r="AR68" i="1"/>
  <c r="AN68" i="1"/>
  <c r="AS68" i="1"/>
  <c r="AO68" i="1"/>
  <c r="AP64" i="1"/>
  <c r="AT64" i="1"/>
  <c r="AR64" i="1"/>
  <c r="AN64" i="1"/>
  <c r="AS64" i="1"/>
  <c r="AO64" i="1"/>
  <c r="AQ64" i="1"/>
  <c r="AP60" i="1"/>
  <c r="AT60" i="1"/>
  <c r="AN60" i="1"/>
  <c r="AS60" i="1"/>
  <c r="AO60" i="1"/>
  <c r="AQ60" i="1"/>
  <c r="AR60" i="1"/>
  <c r="AP56" i="1"/>
  <c r="AT56" i="1"/>
  <c r="AQ56" i="1"/>
  <c r="AR56" i="1"/>
  <c r="AS56" i="1"/>
  <c r="AN56" i="1"/>
  <c r="AO56" i="1"/>
  <c r="AO52" i="1"/>
  <c r="AS52" i="1"/>
  <c r="AP52" i="1"/>
  <c r="AQ52" i="1"/>
  <c r="AR52" i="1"/>
  <c r="AT52" i="1"/>
  <c r="AN52" i="1"/>
  <c r="AO48" i="1"/>
  <c r="AS48" i="1"/>
  <c r="AQ48" i="1"/>
  <c r="AR48" i="1"/>
  <c r="AN48" i="1"/>
  <c r="AP48" i="1"/>
  <c r="AT48" i="1"/>
  <c r="AO44" i="1"/>
  <c r="AS44" i="1"/>
  <c r="AR44" i="1"/>
  <c r="AN44" i="1"/>
  <c r="AT44" i="1"/>
  <c r="AP44" i="1"/>
  <c r="AQ44" i="1"/>
  <c r="AP40" i="1"/>
  <c r="AT40" i="1"/>
  <c r="AO40" i="1"/>
  <c r="AQ40" i="1"/>
  <c r="AR40" i="1"/>
  <c r="AN40" i="1"/>
  <c r="AS40" i="1"/>
  <c r="AP36" i="1"/>
  <c r="AT36" i="1"/>
  <c r="AQ36" i="1"/>
  <c r="AO36" i="1"/>
  <c r="AR36" i="1"/>
  <c r="AN36" i="1"/>
  <c r="AS36" i="1"/>
  <c r="AP32" i="1"/>
  <c r="AT32" i="1"/>
  <c r="AR32" i="1"/>
  <c r="AO32" i="1"/>
  <c r="AQ32" i="1"/>
  <c r="AN32" i="1"/>
  <c r="AS32" i="1"/>
  <c r="AP28" i="1"/>
  <c r="AT28" i="1"/>
  <c r="AN28" i="1"/>
  <c r="AS28" i="1"/>
  <c r="AO28" i="1"/>
  <c r="AQ28" i="1"/>
  <c r="AR28" i="1"/>
  <c r="AP24" i="1"/>
  <c r="AT24" i="1"/>
  <c r="AO24" i="1"/>
  <c r="AN24" i="1"/>
  <c r="AQ24" i="1"/>
  <c r="AR24" i="1"/>
  <c r="AS24" i="1"/>
  <c r="AP20" i="1"/>
  <c r="AT20" i="1"/>
  <c r="AQ20" i="1"/>
  <c r="AN20" i="1"/>
  <c r="AO20" i="1"/>
  <c r="AR20" i="1"/>
  <c r="AS20" i="1"/>
  <c r="AO15" i="1"/>
  <c r="AS15" i="1"/>
  <c r="AN15" i="1"/>
  <c r="AT15" i="1"/>
  <c r="AP15" i="1"/>
  <c r="AQ15" i="1"/>
  <c r="AR15" i="1"/>
  <c r="AP12" i="1"/>
  <c r="AT12" i="1"/>
  <c r="AN12" i="1"/>
  <c r="AS12" i="1"/>
  <c r="AO12" i="1"/>
  <c r="AQ12" i="1"/>
  <c r="AR12" i="1"/>
  <c r="AP8" i="1"/>
  <c r="AT8" i="1"/>
  <c r="AO8" i="1"/>
  <c r="AS8" i="1"/>
  <c r="AN8" i="1"/>
  <c r="AQ8" i="1"/>
  <c r="AR8" i="1"/>
  <c r="AP4" i="1"/>
  <c r="AT4" i="1"/>
  <c r="AQ4" i="1"/>
  <c r="AS4" i="1"/>
  <c r="AN4" i="1"/>
  <c r="AO4" i="1"/>
  <c r="AR4" i="1"/>
  <c r="AQ69" i="1"/>
  <c r="AO69" i="1"/>
  <c r="AT69" i="1"/>
  <c r="AP69" i="1"/>
  <c r="AR69" i="1"/>
  <c r="AN69" i="1"/>
  <c r="AS69" i="1"/>
  <c r="AQ65" i="1"/>
  <c r="AP65" i="1"/>
  <c r="AR65" i="1"/>
  <c r="AN65" i="1"/>
  <c r="AS65" i="1"/>
  <c r="AO65" i="1"/>
  <c r="AT65" i="1"/>
  <c r="AQ61" i="1"/>
  <c r="AR61" i="1"/>
  <c r="AN61" i="1"/>
  <c r="AS61" i="1"/>
  <c r="AO61" i="1"/>
  <c r="AT61" i="1"/>
  <c r="AP61" i="1"/>
  <c r="AQ57" i="1"/>
  <c r="AN57" i="1"/>
  <c r="AR57" i="1"/>
  <c r="AS57" i="1"/>
  <c r="AT57" i="1"/>
  <c r="AO57" i="1"/>
  <c r="AP57" i="1"/>
  <c r="AP53" i="1"/>
  <c r="AT53" i="1"/>
  <c r="AN53" i="1"/>
  <c r="AS53" i="1"/>
  <c r="AO53" i="1"/>
  <c r="AQ53" i="1"/>
  <c r="AR53" i="1"/>
  <c r="AP49" i="1"/>
  <c r="AT49" i="1"/>
  <c r="AO49" i="1"/>
  <c r="AQ49" i="1"/>
  <c r="AR49" i="1"/>
  <c r="AS49" i="1"/>
  <c r="AN49" i="1"/>
  <c r="AP45" i="1"/>
  <c r="AT45" i="1"/>
  <c r="AQ45" i="1"/>
  <c r="AR45" i="1"/>
  <c r="AN45" i="1"/>
  <c r="AO45" i="1"/>
  <c r="AS45" i="1"/>
  <c r="AQ41" i="1"/>
  <c r="AN41" i="1"/>
  <c r="AS41" i="1"/>
  <c r="AP41" i="1"/>
  <c r="AR41" i="1"/>
  <c r="AT41" i="1"/>
  <c r="AO41" i="1"/>
  <c r="AQ37" i="1"/>
  <c r="AO37" i="1"/>
  <c r="AT37" i="1"/>
  <c r="AP37" i="1"/>
  <c r="AR37" i="1"/>
  <c r="AS37" i="1"/>
  <c r="AN37" i="1"/>
  <c r="AQ33" i="1"/>
  <c r="AP33" i="1"/>
  <c r="AO33" i="1"/>
  <c r="AR33" i="1"/>
  <c r="AS33" i="1"/>
  <c r="AT33" i="1"/>
  <c r="AN33" i="1"/>
  <c r="AQ29" i="1"/>
  <c r="AR29" i="1"/>
  <c r="AO29" i="1"/>
  <c r="AP29" i="1"/>
  <c r="AS29" i="1"/>
  <c r="AT29" i="1"/>
  <c r="AN29" i="1"/>
  <c r="AQ25" i="1"/>
  <c r="AN25" i="1"/>
  <c r="AS25" i="1"/>
  <c r="AO25" i="1"/>
  <c r="AP25" i="1"/>
  <c r="AR25" i="1"/>
  <c r="AT25" i="1"/>
  <c r="AQ21" i="1"/>
  <c r="AO21" i="1"/>
  <c r="AT21" i="1"/>
  <c r="AN21" i="1"/>
  <c r="AP21" i="1"/>
  <c r="AR21" i="1"/>
  <c r="AS21" i="1"/>
  <c r="AQ17" i="1"/>
  <c r="AP17" i="1"/>
  <c r="AN17" i="1"/>
  <c r="AT17" i="1"/>
  <c r="AO17" i="1"/>
  <c r="AR17" i="1"/>
  <c r="AS17" i="1"/>
  <c r="AQ13" i="1"/>
  <c r="AR13" i="1"/>
  <c r="AN13" i="1"/>
  <c r="AT13" i="1"/>
  <c r="AO13" i="1"/>
  <c r="AP13" i="1"/>
  <c r="AS13" i="1"/>
  <c r="AQ9" i="1"/>
  <c r="AN9" i="1"/>
  <c r="AS9" i="1"/>
  <c r="AT9" i="1"/>
  <c r="AO9" i="1"/>
  <c r="AP9" i="1"/>
  <c r="AR9" i="1"/>
  <c r="AQ5" i="1"/>
  <c r="AO5" i="1"/>
  <c r="AT5" i="1"/>
  <c r="AS5" i="1"/>
  <c r="AN5" i="1"/>
  <c r="AP5" i="1"/>
  <c r="AR5" i="1"/>
  <c r="AN70" i="1"/>
  <c r="AR70" i="1"/>
  <c r="AS70" i="1"/>
  <c r="AO70" i="1"/>
  <c r="AT70" i="1"/>
  <c r="AP70" i="1"/>
  <c r="AQ70" i="1"/>
  <c r="AN66" i="1"/>
  <c r="AR66" i="1"/>
  <c r="AO66" i="1"/>
  <c r="AT66" i="1"/>
  <c r="AP66" i="1"/>
  <c r="AQ66" i="1"/>
  <c r="AS66" i="1"/>
  <c r="AN62" i="1"/>
  <c r="AR62" i="1"/>
  <c r="AP62" i="1"/>
  <c r="AQ62" i="1"/>
  <c r="AS62" i="1"/>
  <c r="AO62" i="1"/>
  <c r="AT62" i="1"/>
  <c r="AN58" i="1"/>
  <c r="AR58" i="1"/>
  <c r="AO58" i="1"/>
  <c r="AS58" i="1"/>
  <c r="AT58" i="1"/>
  <c r="AP58" i="1"/>
  <c r="AQ58" i="1"/>
  <c r="AQ54" i="1"/>
  <c r="AR54" i="1"/>
  <c r="AN54" i="1"/>
  <c r="AS54" i="1"/>
  <c r="AO54" i="1"/>
  <c r="AP54" i="1"/>
  <c r="AT54" i="1"/>
  <c r="AQ50" i="1"/>
  <c r="AN50" i="1"/>
  <c r="AS50" i="1"/>
  <c r="AO50" i="1"/>
  <c r="AT50" i="1"/>
  <c r="AP50" i="1"/>
  <c r="AR50" i="1"/>
  <c r="AQ46" i="1"/>
  <c r="AO46" i="1"/>
  <c r="AT46" i="1"/>
  <c r="AP46" i="1"/>
  <c r="AR46" i="1"/>
  <c r="AS46" i="1"/>
  <c r="AN46" i="1"/>
  <c r="AN42" i="1"/>
  <c r="AQ42" i="1"/>
  <c r="AP42" i="1"/>
  <c r="AR42" i="1"/>
  <c r="AO42" i="1"/>
  <c r="AS42" i="1"/>
  <c r="AT42" i="1"/>
  <c r="AN38" i="1"/>
  <c r="AR38" i="1"/>
  <c r="AS38" i="1"/>
  <c r="AP38" i="1"/>
  <c r="AQ38" i="1"/>
  <c r="AO38" i="1"/>
  <c r="AT38" i="1"/>
  <c r="AN34" i="1"/>
  <c r="AR34" i="1"/>
  <c r="AO34" i="1"/>
  <c r="AT34" i="1"/>
  <c r="AP34" i="1"/>
  <c r="AQ34" i="1"/>
  <c r="AS34" i="1"/>
  <c r="AN30" i="1"/>
  <c r="AR30" i="1"/>
  <c r="AP30" i="1"/>
  <c r="AO30" i="1"/>
  <c r="AQ30" i="1"/>
  <c r="AS30" i="1"/>
  <c r="AT30" i="1"/>
  <c r="AO27" i="1"/>
  <c r="AS27" i="1"/>
  <c r="AP27" i="1"/>
  <c r="AN27" i="1"/>
  <c r="AQ27" i="1"/>
  <c r="AR27" i="1"/>
  <c r="AT27" i="1"/>
  <c r="AN22" i="1"/>
  <c r="AR22" i="1"/>
  <c r="AS22" i="1"/>
  <c r="AO22" i="1"/>
  <c r="AP22" i="1"/>
  <c r="AQ22" i="1"/>
  <c r="AT22" i="1"/>
  <c r="AN18" i="1"/>
  <c r="AR18" i="1"/>
  <c r="AO18" i="1"/>
  <c r="AT18" i="1"/>
  <c r="AP18" i="1"/>
  <c r="AQ18" i="1"/>
  <c r="AS18" i="1"/>
  <c r="AN14" i="1"/>
  <c r="AR14" i="1"/>
  <c r="AP14" i="1"/>
  <c r="AT14" i="1"/>
  <c r="AO14" i="1"/>
  <c r="AQ14" i="1"/>
  <c r="AS14" i="1"/>
  <c r="AN10" i="1"/>
  <c r="AR10" i="1"/>
  <c r="AQ10" i="1"/>
  <c r="AT10" i="1"/>
  <c r="AO10" i="1"/>
  <c r="AP10" i="1"/>
  <c r="AS10" i="1"/>
  <c r="AN6" i="1"/>
  <c r="AR6" i="1"/>
  <c r="AS6" i="1"/>
  <c r="AT6" i="1"/>
  <c r="AO6" i="1"/>
  <c r="AP6" i="1"/>
  <c r="AQ6" i="1"/>
  <c r="AO71" i="1"/>
  <c r="AS71" i="1"/>
  <c r="AQ71" i="1"/>
  <c r="AR71" i="1"/>
  <c r="AN71" i="1"/>
  <c r="AT71" i="1"/>
  <c r="AP71" i="1"/>
  <c r="AO67" i="1"/>
  <c r="AS67" i="1"/>
  <c r="AR67" i="1"/>
  <c r="AN67" i="1"/>
  <c r="AT67" i="1"/>
  <c r="AP67" i="1"/>
  <c r="AQ67" i="1"/>
  <c r="AO63" i="1"/>
  <c r="AS63" i="1"/>
  <c r="AN63" i="1"/>
  <c r="AT63" i="1"/>
  <c r="AP63" i="1"/>
  <c r="AQ63" i="1"/>
  <c r="AR63" i="1"/>
  <c r="AO59" i="1"/>
  <c r="AS59" i="1"/>
  <c r="AP59" i="1"/>
  <c r="AT59" i="1"/>
  <c r="AN59" i="1"/>
  <c r="AQ59" i="1"/>
  <c r="AR59" i="1"/>
  <c r="AO55" i="1"/>
  <c r="AS55" i="1"/>
  <c r="AP55" i="1"/>
  <c r="AT55" i="1"/>
  <c r="AQ55" i="1"/>
  <c r="AR55" i="1"/>
  <c r="AN55" i="1"/>
  <c r="AN51" i="1"/>
  <c r="AR51" i="1"/>
  <c r="AQ51" i="1"/>
  <c r="AS51" i="1"/>
  <c r="AO51" i="1"/>
  <c r="AP51" i="1"/>
  <c r="AT51" i="1"/>
  <c r="AN47" i="1"/>
  <c r="AR47" i="1"/>
  <c r="AS47" i="1"/>
  <c r="AO47" i="1"/>
  <c r="AT47" i="1"/>
  <c r="AP47" i="1"/>
  <c r="AQ47" i="1"/>
  <c r="AN43" i="1"/>
  <c r="AR43" i="1"/>
  <c r="AO43" i="1"/>
  <c r="AT43" i="1"/>
  <c r="AP43" i="1"/>
  <c r="AQ43" i="1"/>
  <c r="AS43" i="1"/>
  <c r="AO39" i="1"/>
  <c r="AS39" i="1"/>
  <c r="AQ39" i="1"/>
  <c r="AP39" i="1"/>
  <c r="AR39" i="1"/>
  <c r="AT39" i="1"/>
  <c r="AN39" i="1"/>
  <c r="AO35" i="1"/>
  <c r="AS35" i="1"/>
  <c r="AR35" i="1"/>
  <c r="AP35" i="1"/>
  <c r="AQ35" i="1"/>
  <c r="AT35" i="1"/>
  <c r="AN35" i="1"/>
  <c r="AO31" i="1"/>
  <c r="AS31" i="1"/>
  <c r="AN31" i="1"/>
  <c r="AT31" i="1"/>
  <c r="AP31" i="1"/>
  <c r="AQ31" i="1"/>
  <c r="AR31" i="1"/>
  <c r="AN26" i="1"/>
  <c r="AR26" i="1"/>
  <c r="AQ26" i="1"/>
  <c r="AO26" i="1"/>
  <c r="AP26" i="1"/>
  <c r="AS26" i="1"/>
  <c r="AT26" i="1"/>
  <c r="AO23" i="1"/>
  <c r="AS23" i="1"/>
  <c r="AQ23" i="1"/>
  <c r="AN23" i="1"/>
  <c r="AP23" i="1"/>
  <c r="AR23" i="1"/>
  <c r="AT23" i="1"/>
  <c r="AO19" i="1"/>
  <c r="AS19" i="1"/>
  <c r="AR19" i="1"/>
  <c r="AN19" i="1"/>
  <c r="AP19" i="1"/>
  <c r="AQ19" i="1"/>
  <c r="AT19" i="1"/>
  <c r="AP16" i="1"/>
  <c r="AT16" i="1"/>
  <c r="AR16" i="1"/>
  <c r="AN16" i="1"/>
  <c r="AO16" i="1"/>
  <c r="AQ16" i="1"/>
  <c r="AS16" i="1"/>
  <c r="AO11" i="1"/>
  <c r="AS11" i="1"/>
  <c r="AP11" i="1"/>
  <c r="AT11" i="1"/>
  <c r="AN11" i="1"/>
  <c r="AQ11" i="1"/>
  <c r="AR11" i="1"/>
  <c r="AO7" i="1"/>
  <c r="AS7" i="1"/>
  <c r="AQ7" i="1"/>
  <c r="AT7" i="1"/>
  <c r="AN7" i="1"/>
  <c r="AP7" i="1"/>
  <c r="AR7" i="1"/>
  <c r="AR5" i="5"/>
  <c r="AO5" i="5"/>
  <c r="AT5" i="5"/>
  <c r="AP5" i="5"/>
  <c r="AN5" i="5"/>
  <c r="AS5" i="5"/>
  <c r="AQ5" i="5"/>
  <c r="AP43" i="5"/>
  <c r="AT43" i="5"/>
  <c r="AO43" i="5"/>
  <c r="AQ43" i="5"/>
  <c r="AN43" i="5"/>
  <c r="AR43" i="5"/>
  <c r="AS43" i="5"/>
  <c r="AO35" i="5"/>
  <c r="AS35" i="5"/>
  <c r="AR35" i="5"/>
  <c r="AN35" i="5"/>
  <c r="AT35" i="5"/>
  <c r="AP35" i="5"/>
  <c r="AQ35" i="5"/>
  <c r="AN34" i="5"/>
  <c r="AR34" i="5"/>
  <c r="AO34" i="5"/>
  <c r="AT34" i="5"/>
  <c r="AP34" i="5"/>
  <c r="AQ34" i="5"/>
  <c r="AS34" i="5"/>
  <c r="AO25" i="5"/>
  <c r="AS25" i="5"/>
  <c r="AQ25" i="5"/>
  <c r="AR25" i="5"/>
  <c r="AN25" i="5"/>
  <c r="AT25" i="5"/>
  <c r="AP25" i="5"/>
  <c r="AQ19" i="5"/>
  <c r="AP19" i="5"/>
  <c r="AR19" i="5"/>
  <c r="AN19" i="5"/>
  <c r="AS19" i="5"/>
  <c r="AO19" i="5"/>
  <c r="AT19" i="5"/>
  <c r="AQ10" i="5"/>
  <c r="AR10" i="5"/>
  <c r="AN10" i="5"/>
  <c r="AS10" i="5"/>
  <c r="AO10" i="5"/>
  <c r="AT10" i="5"/>
  <c r="AP10" i="5"/>
  <c r="AQ6" i="5"/>
  <c r="AN6" i="5"/>
  <c r="AR6" i="5"/>
  <c r="AS6" i="5"/>
  <c r="AT6" i="5"/>
  <c r="AO6" i="5"/>
  <c r="AP6" i="5"/>
  <c r="AQ44" i="5"/>
  <c r="AN44" i="5"/>
  <c r="AS44" i="5"/>
  <c r="AO44" i="5"/>
  <c r="AT44" i="5"/>
  <c r="AP44" i="5"/>
  <c r="AR44" i="5"/>
  <c r="AN45" i="5"/>
  <c r="AR45" i="5"/>
  <c r="AQ45" i="5"/>
  <c r="AS45" i="5"/>
  <c r="AT45" i="5"/>
  <c r="AO45" i="5"/>
  <c r="AP45" i="5"/>
  <c r="AN38" i="5"/>
  <c r="AR38" i="5"/>
  <c r="AS38" i="5"/>
  <c r="AO38" i="5"/>
  <c r="AT38" i="5"/>
  <c r="AP38" i="5"/>
  <c r="AQ38" i="5"/>
  <c r="AQ37" i="5"/>
  <c r="AO37" i="5"/>
  <c r="AT37" i="5"/>
  <c r="AP37" i="5"/>
  <c r="AN37" i="5"/>
  <c r="AR37" i="5"/>
  <c r="AS37" i="5"/>
  <c r="AP22" i="5"/>
  <c r="AT22" i="5"/>
  <c r="AQ22" i="5"/>
  <c r="AR22" i="5"/>
  <c r="AN22" i="5"/>
  <c r="AS22" i="5"/>
  <c r="AO22" i="5"/>
  <c r="AN18" i="5"/>
  <c r="AR18" i="5"/>
  <c r="AQ18" i="5"/>
  <c r="AS18" i="5"/>
  <c r="AO18" i="5"/>
  <c r="AT18" i="5"/>
  <c r="AP18" i="5"/>
  <c r="AN24" i="5"/>
  <c r="AR24" i="5"/>
  <c r="AS24" i="5"/>
  <c r="AO24" i="5"/>
  <c r="AT24" i="5"/>
  <c r="AP24" i="5"/>
  <c r="AQ24" i="5"/>
  <c r="AP17" i="5"/>
  <c r="AT17" i="5"/>
  <c r="AR17" i="5"/>
  <c r="AN17" i="5"/>
  <c r="AS17" i="5"/>
  <c r="AO17" i="5"/>
  <c r="AQ17" i="5"/>
  <c r="AP9" i="5"/>
  <c r="AT9" i="5"/>
  <c r="AN9" i="5"/>
  <c r="AS9" i="5"/>
  <c r="AO9" i="5"/>
  <c r="AQ9" i="5"/>
  <c r="AR9" i="5"/>
  <c r="AO46" i="5"/>
  <c r="AS46" i="5"/>
  <c r="AP46" i="5"/>
  <c r="AQ46" i="5"/>
  <c r="AT46" i="5"/>
  <c r="AN46" i="5"/>
  <c r="AR46" i="5"/>
  <c r="AN30" i="5"/>
  <c r="AR30" i="5"/>
  <c r="AP30" i="5"/>
  <c r="AQ30" i="5"/>
  <c r="AS30" i="5"/>
  <c r="AT30" i="5"/>
  <c r="AO30" i="5"/>
  <c r="AP32" i="5"/>
  <c r="AT32" i="5"/>
  <c r="AR32" i="5"/>
  <c r="AN32" i="5"/>
  <c r="AS32" i="5"/>
  <c r="AO32" i="5"/>
  <c r="AQ32" i="5"/>
  <c r="AO31" i="5"/>
  <c r="AS31" i="5"/>
  <c r="AN31" i="5"/>
  <c r="AT31" i="5"/>
  <c r="AP31" i="5"/>
  <c r="AR31" i="5"/>
  <c r="AQ31" i="5"/>
  <c r="AO21" i="5"/>
  <c r="AS21" i="5"/>
  <c r="AR21" i="5"/>
  <c r="AN21" i="5"/>
  <c r="AT21" i="5"/>
  <c r="AP21" i="5"/>
  <c r="AQ21" i="5"/>
  <c r="AQ16" i="5"/>
  <c r="AN16" i="5"/>
  <c r="AS16" i="5"/>
  <c r="AO16" i="5"/>
  <c r="AT16" i="5"/>
  <c r="AP16" i="5"/>
  <c r="AR16" i="5"/>
  <c r="AQ23" i="5"/>
  <c r="AO23" i="5"/>
  <c r="AT23" i="5"/>
  <c r="AP23" i="5"/>
  <c r="AR23" i="5"/>
  <c r="AS23" i="5"/>
  <c r="AN23" i="5"/>
  <c r="AO15" i="5"/>
  <c r="AS15" i="5"/>
  <c r="AN15" i="5"/>
  <c r="AT15" i="5"/>
  <c r="AP15" i="5"/>
  <c r="AQ15" i="5"/>
  <c r="AR15" i="5"/>
  <c r="AO8" i="5"/>
  <c r="AS8" i="5"/>
  <c r="AP8" i="5"/>
  <c r="AQ8" i="5"/>
  <c r="AR8" i="5"/>
  <c r="AT8" i="5"/>
  <c r="AN8" i="5"/>
  <c r="AP47" i="5"/>
  <c r="AT47" i="5"/>
  <c r="AN47" i="5"/>
  <c r="AS47" i="5"/>
  <c r="AO47" i="5"/>
  <c r="AQ47" i="5"/>
  <c r="AR47" i="5"/>
  <c r="AQ33" i="5"/>
  <c r="AP33" i="5"/>
  <c r="AR33" i="5"/>
  <c r="AS33" i="5"/>
  <c r="AT33" i="5"/>
  <c r="AN33" i="5"/>
  <c r="AO33" i="5"/>
  <c r="AO39" i="5"/>
  <c r="AS39" i="5"/>
  <c r="AQ39" i="5"/>
  <c r="AR39" i="5"/>
  <c r="AT39" i="5"/>
  <c r="AP39" i="5"/>
  <c r="AN39" i="5"/>
  <c r="AP36" i="5"/>
  <c r="AT36" i="5"/>
  <c r="AQ36" i="5"/>
  <c r="AR36" i="5"/>
  <c r="AS36" i="5"/>
  <c r="AO36" i="5"/>
  <c r="AN36" i="5"/>
  <c r="AP26" i="5"/>
  <c r="AT26" i="5"/>
  <c r="AO26" i="5"/>
  <c r="AQ26" i="5"/>
  <c r="AR26" i="5"/>
  <c r="AS26" i="5"/>
  <c r="AN26" i="5"/>
  <c r="AN20" i="5"/>
  <c r="AR20" i="5"/>
  <c r="AO20" i="5"/>
  <c r="AT20" i="5"/>
  <c r="AP20" i="5"/>
  <c r="AQ20" i="5"/>
  <c r="AS20" i="5"/>
  <c r="AN14" i="5"/>
  <c r="AR14" i="5"/>
  <c r="AP14" i="5"/>
  <c r="AQ14" i="5"/>
  <c r="AS14" i="5"/>
  <c r="AO14" i="5"/>
  <c r="AT14" i="5"/>
  <c r="AN7" i="5"/>
  <c r="AR7" i="5"/>
  <c r="AQ7" i="5"/>
  <c r="AS7" i="5"/>
  <c r="AO7" i="5"/>
  <c r="AT7" i="5"/>
  <c r="AP7" i="5"/>
  <c r="AB47" i="5"/>
  <c r="AB33" i="5"/>
  <c r="AB26" i="5"/>
  <c r="AB20" i="5"/>
  <c r="AB14" i="5"/>
  <c r="AB46" i="5"/>
  <c r="AB43" i="5"/>
  <c r="AB35" i="5"/>
  <c r="AB34" i="5"/>
  <c r="AB10" i="5"/>
  <c r="AB6" i="5"/>
  <c r="AB45" i="5"/>
  <c r="AB17" i="5"/>
  <c r="AB24" i="5"/>
  <c r="AB5" i="5"/>
  <c r="AB30" i="5"/>
  <c r="AB32" i="5"/>
  <c r="AB31" i="5"/>
  <c r="AB21" i="5"/>
  <c r="AB16" i="5"/>
  <c r="AB8" i="5"/>
  <c r="AB71" i="1"/>
  <c r="AB67" i="1"/>
  <c r="AB63" i="1"/>
  <c r="AB59" i="1"/>
  <c r="AB55" i="1"/>
  <c r="AB47" i="1"/>
  <c r="AB39" i="1"/>
  <c r="AB35" i="1"/>
  <c r="AB31" i="1"/>
  <c r="AB26" i="1"/>
  <c r="AB19" i="1"/>
  <c r="AB11" i="1"/>
  <c r="AB7" i="1"/>
  <c r="AB51" i="1"/>
  <c r="AB43" i="1"/>
  <c r="AB23" i="1"/>
  <c r="AB16" i="1"/>
  <c r="AB69" i="1"/>
  <c r="AB65" i="1"/>
  <c r="AB72" i="1"/>
  <c r="AB68" i="1"/>
  <c r="AB64" i="1"/>
  <c r="AB60" i="1"/>
  <c r="AB56" i="1"/>
  <c r="AB52" i="1"/>
  <c r="AB48" i="1"/>
  <c r="AB44" i="1"/>
  <c r="AB40" i="1"/>
  <c r="AB36" i="1"/>
  <c r="AB32" i="1"/>
  <c r="AB28" i="1"/>
  <c r="AB24" i="1"/>
  <c r="AB20" i="1"/>
  <c r="AB15" i="1"/>
  <c r="AB12" i="1"/>
  <c r="AB8" i="1"/>
  <c r="AB4" i="1"/>
  <c r="AB61" i="1"/>
  <c r="AB57" i="1"/>
  <c r="AB53" i="1"/>
  <c r="AB49" i="1"/>
  <c r="AB45" i="1"/>
  <c r="AB41" i="1"/>
  <c r="AB37" i="1"/>
  <c r="AB33" i="1"/>
  <c r="AB29" i="1"/>
  <c r="AB25" i="1"/>
  <c r="AB21" i="1"/>
  <c r="AB17" i="1"/>
  <c r="AB13" i="1"/>
  <c r="AB9" i="1"/>
  <c r="AB5" i="1"/>
  <c r="AB70" i="1"/>
  <c r="AB66" i="1"/>
  <c r="AB62" i="1"/>
  <c r="AB58" i="1"/>
  <c r="AB54" i="1"/>
  <c r="AB50" i="1"/>
  <c r="AB46" i="1"/>
  <c r="AB42" i="1"/>
  <c r="AB38" i="1"/>
  <c r="AB34" i="1"/>
  <c r="AB30" i="1"/>
  <c r="AB27" i="1"/>
  <c r="AB22" i="1"/>
  <c r="AB18" i="1"/>
  <c r="AB14" i="1"/>
  <c r="AB10" i="1"/>
  <c r="AB6" i="1"/>
  <c r="AD3" i="6"/>
  <c r="AB39" i="5"/>
  <c r="AB36" i="5"/>
  <c r="AB22" i="5"/>
  <c r="AB18" i="5"/>
  <c r="AB25" i="5"/>
  <c r="AB19" i="5"/>
  <c r="AB9" i="5"/>
  <c r="AB38" i="5"/>
  <c r="AB37" i="5"/>
  <c r="AB23" i="5"/>
  <c r="AB15" i="5"/>
  <c r="AB7" i="5"/>
  <c r="AA3" i="1"/>
  <c r="AU11" i="1" l="1"/>
  <c r="AU16" i="1"/>
  <c r="AU35" i="1"/>
  <c r="AU59" i="1"/>
  <c r="AU27" i="1"/>
  <c r="AU46" i="1"/>
  <c r="AU21" i="1"/>
  <c r="AU40" i="1"/>
  <c r="AU52" i="1"/>
  <c r="AU56" i="1"/>
  <c r="AU64" i="1"/>
  <c r="AU72" i="1"/>
  <c r="AU14" i="5"/>
  <c r="AU33" i="5"/>
  <c r="AU6" i="5"/>
  <c r="AU19" i="5"/>
  <c r="AU25" i="5"/>
  <c r="AU6" i="1"/>
  <c r="AU26" i="1"/>
  <c r="AU43" i="1"/>
  <c r="AU22" i="1"/>
  <c r="AU38" i="1"/>
  <c r="AU50" i="1"/>
  <c r="AU70" i="1"/>
  <c r="AU7" i="1"/>
  <c r="AU31" i="1"/>
  <c r="AU63" i="1"/>
  <c r="AU71" i="1"/>
  <c r="AU18" i="1"/>
  <c r="AU34" i="1"/>
  <c r="AU66" i="1"/>
  <c r="AU9" i="1"/>
  <c r="AU25" i="1"/>
  <c r="AU37" i="1"/>
  <c r="AU41" i="1"/>
  <c r="AU45" i="1"/>
  <c r="AU53" i="1"/>
  <c r="AU57" i="1"/>
  <c r="AU65" i="1"/>
  <c r="AU8" i="1"/>
  <c r="AU15" i="1"/>
  <c r="AU36" i="1"/>
  <c r="AU44" i="1"/>
  <c r="AU23" i="1"/>
  <c r="AU51" i="1"/>
  <c r="AU14" i="1"/>
  <c r="AU30" i="1"/>
  <c r="AU54" i="1"/>
  <c r="AU62" i="1"/>
  <c r="AU17" i="1"/>
  <c r="AU33" i="1"/>
  <c r="AU49" i="1"/>
  <c r="AU69" i="1"/>
  <c r="AU4" i="1"/>
  <c r="AU12" i="1"/>
  <c r="AU24" i="1"/>
  <c r="AU28" i="1"/>
  <c r="AU32" i="1"/>
  <c r="AU60" i="1"/>
  <c r="AU68" i="1"/>
  <c r="AU19" i="1"/>
  <c r="AU39" i="1"/>
  <c r="AU47" i="1"/>
  <c r="AU55" i="1"/>
  <c r="AU67" i="1"/>
  <c r="AU10" i="1"/>
  <c r="AU42" i="1"/>
  <c r="AU58" i="1"/>
  <c r="AU5" i="1"/>
  <c r="AU13" i="1"/>
  <c r="AU29" i="1"/>
  <c r="AU61" i="1"/>
  <c r="AU20" i="1"/>
  <c r="AU48" i="1"/>
  <c r="AU9" i="5"/>
  <c r="AU22" i="5"/>
  <c r="AU36" i="5"/>
  <c r="AU39" i="5"/>
  <c r="AU8" i="5"/>
  <c r="AU18" i="5"/>
  <c r="AU44" i="5"/>
  <c r="AU35" i="5"/>
  <c r="AU5" i="5"/>
  <c r="AU7" i="5"/>
  <c r="AU20" i="5"/>
  <c r="AU47" i="5"/>
  <c r="AU15" i="5"/>
  <c r="AU23" i="5"/>
  <c r="AU21" i="5"/>
  <c r="AU31" i="5"/>
  <c r="AU30" i="5"/>
  <c r="AU46" i="5"/>
  <c r="AU37" i="5"/>
  <c r="AU45" i="5"/>
  <c r="AU10" i="5"/>
  <c r="AU26" i="5"/>
  <c r="AU16" i="5"/>
  <c r="AU32" i="5"/>
  <c r="AU17" i="5"/>
  <c r="AU24" i="5"/>
  <c r="AU38" i="5"/>
  <c r="AU34" i="5"/>
  <c r="AU43" i="5"/>
  <c r="X3" i="1"/>
  <c r="W3" i="1"/>
  <c r="AB3" i="1" l="1"/>
  <c r="R3" i="1" l="1"/>
  <c r="V3" i="1" l="1"/>
  <c r="U3" i="1"/>
  <c r="T3" i="1"/>
  <c r="S3" i="1"/>
  <c r="AQ3" i="1" l="1"/>
  <c r="AT3" i="1"/>
  <c r="AO3" i="1"/>
  <c r="AS3" i="1"/>
  <c r="AN3" i="1"/>
  <c r="AR3" i="1"/>
  <c r="AP3" i="1"/>
  <c r="AU3" i="1" l="1"/>
</calcChain>
</file>

<file path=xl/sharedStrings.xml><?xml version="1.0" encoding="utf-8"?>
<sst xmlns="http://schemas.openxmlformats.org/spreadsheetml/2006/main" count="967" uniqueCount="299">
  <si>
    <t>Os</t>
  </si>
  <si>
    <t>Ir</t>
  </si>
  <si>
    <t>Ru</t>
  </si>
  <si>
    <t>Rh</t>
  </si>
  <si>
    <t>Pt</t>
  </si>
  <si>
    <t>Pd</t>
  </si>
  <si>
    <t>Au</t>
  </si>
  <si>
    <t>JD2</t>
  </si>
  <si>
    <t>JD3</t>
  </si>
  <si>
    <t>JD4</t>
  </si>
  <si>
    <t>JD14</t>
  </si>
  <si>
    <t>JD15</t>
  </si>
  <si>
    <t>JD16</t>
  </si>
  <si>
    <t>JD17</t>
  </si>
  <si>
    <t>JD18</t>
  </si>
  <si>
    <t>JD21</t>
  </si>
  <si>
    <t>JD23</t>
  </si>
  <si>
    <t>BK067</t>
  </si>
  <si>
    <t>BK070*</t>
  </si>
  <si>
    <t>BK071C</t>
  </si>
  <si>
    <t>granite</t>
  </si>
  <si>
    <t>BK072</t>
  </si>
  <si>
    <t>BK073</t>
  </si>
  <si>
    <t>BK074</t>
  </si>
  <si>
    <t>BK075</t>
  </si>
  <si>
    <t>An</t>
  </si>
  <si>
    <t>BK076</t>
  </si>
  <si>
    <t>Lith</t>
  </si>
  <si>
    <t>BK008</t>
  </si>
  <si>
    <t>BK009</t>
  </si>
  <si>
    <t>GN</t>
  </si>
  <si>
    <t>BK013</t>
  </si>
  <si>
    <t>BK015</t>
  </si>
  <si>
    <t>BK016</t>
  </si>
  <si>
    <t>BK017</t>
  </si>
  <si>
    <t>BK018</t>
  </si>
  <si>
    <t>BK019</t>
  </si>
  <si>
    <t>BK020</t>
  </si>
  <si>
    <t>BK021</t>
  </si>
  <si>
    <t>BK022</t>
  </si>
  <si>
    <t>BK023</t>
  </si>
  <si>
    <t>BK024</t>
  </si>
  <si>
    <t>BK025</t>
  </si>
  <si>
    <t>BK035</t>
  </si>
  <si>
    <t>BK036</t>
  </si>
  <si>
    <t>BK037</t>
  </si>
  <si>
    <t>BK038</t>
  </si>
  <si>
    <t>BK039</t>
  </si>
  <si>
    <t>HARZ</t>
  </si>
  <si>
    <t>BV1</t>
  </si>
  <si>
    <t>BK012</t>
  </si>
  <si>
    <t>BK014</t>
  </si>
  <si>
    <t>BK005</t>
  </si>
  <si>
    <t>BK007</t>
  </si>
  <si>
    <t>BK010</t>
  </si>
  <si>
    <t>BK004?</t>
  </si>
  <si>
    <t>BK002</t>
  </si>
  <si>
    <t>Pt+Pd+Au</t>
  </si>
  <si>
    <t>FT1038</t>
  </si>
  <si>
    <t>JD32</t>
  </si>
  <si>
    <t>JD28</t>
  </si>
  <si>
    <t xml:space="preserve">6E </t>
  </si>
  <si>
    <t>Pt/Pd</t>
  </si>
  <si>
    <t>FT1003</t>
  </si>
  <si>
    <t>FT1006</t>
  </si>
  <si>
    <t>FT1010</t>
  </si>
  <si>
    <t>FT1014</t>
  </si>
  <si>
    <t>FT1019</t>
  </si>
  <si>
    <t>FT1026</t>
  </si>
  <si>
    <t>JD01B</t>
  </si>
  <si>
    <t>FT1029</t>
  </si>
  <si>
    <t>FT1031</t>
  </si>
  <si>
    <t>JD30</t>
  </si>
  <si>
    <t>JD03B</t>
  </si>
  <si>
    <t>FT1044</t>
  </si>
  <si>
    <t>FT1054</t>
  </si>
  <si>
    <t>FT1065</t>
  </si>
  <si>
    <t>JD26</t>
  </si>
  <si>
    <t>FT1069</t>
  </si>
  <si>
    <t>JD06B</t>
  </si>
  <si>
    <t>FT1081</t>
  </si>
  <si>
    <t>FT1088</t>
  </si>
  <si>
    <t>FT1093</t>
  </si>
  <si>
    <t>FT1096</t>
  </si>
  <si>
    <t>FT1101</t>
  </si>
  <si>
    <t>JD07B</t>
  </si>
  <si>
    <t>JD29</t>
  </si>
  <si>
    <t>FT1107</t>
  </si>
  <si>
    <t>JD10B</t>
  </si>
  <si>
    <t>JD31</t>
  </si>
  <si>
    <t>JD27</t>
  </si>
  <si>
    <t>FT1128B</t>
  </si>
  <si>
    <t>FT1134</t>
  </si>
  <si>
    <t>FT1143</t>
  </si>
  <si>
    <t>JD25B</t>
  </si>
  <si>
    <t>PPGE</t>
  </si>
  <si>
    <t>IPGE</t>
  </si>
  <si>
    <t>PPGE/IPGE</t>
  </si>
  <si>
    <t>TU</t>
  </si>
  <si>
    <t>FT1012</t>
  </si>
  <si>
    <t>FT4204</t>
  </si>
  <si>
    <t>JD34B</t>
  </si>
  <si>
    <t>FT4207</t>
  </si>
  <si>
    <t>FT4208</t>
  </si>
  <si>
    <t>FT4209</t>
  </si>
  <si>
    <t>FT1131*</t>
  </si>
  <si>
    <t>FT 1146</t>
  </si>
  <si>
    <t>FT4203_ii</t>
  </si>
  <si>
    <t>FT4203_iii</t>
  </si>
  <si>
    <t>TROC</t>
  </si>
  <si>
    <t>FT1034</t>
  </si>
  <si>
    <t>FT1035</t>
  </si>
  <si>
    <t>FT1036</t>
  </si>
  <si>
    <t>JD36</t>
  </si>
  <si>
    <t>JD37</t>
  </si>
  <si>
    <t>JD38</t>
  </si>
  <si>
    <t>FT1117</t>
  </si>
  <si>
    <t>JD40</t>
  </si>
  <si>
    <t>FT1120</t>
  </si>
  <si>
    <t>JD42</t>
  </si>
  <si>
    <t>JD43</t>
  </si>
  <si>
    <t>JD45</t>
  </si>
  <si>
    <t>Sample</t>
  </si>
  <si>
    <t>Batch_nr</t>
  </si>
  <si>
    <t>ppb</t>
  </si>
  <si>
    <t>PGE-T</t>
  </si>
  <si>
    <t>Ratio's</t>
  </si>
  <si>
    <t>ratio</t>
  </si>
  <si>
    <t>6E + Au</t>
  </si>
  <si>
    <t>4E</t>
  </si>
  <si>
    <t>TU4</t>
  </si>
  <si>
    <t>TU3</t>
  </si>
  <si>
    <t>TU2</t>
  </si>
  <si>
    <t>TU1</t>
  </si>
  <si>
    <t>Troctolite Unit_field</t>
  </si>
  <si>
    <t>Granitic and felsic features</t>
  </si>
  <si>
    <t>AN</t>
  </si>
  <si>
    <t>LN</t>
  </si>
  <si>
    <t>BV02</t>
  </si>
  <si>
    <t>BV04</t>
  </si>
  <si>
    <t>BV5</t>
  </si>
  <si>
    <t>MGN</t>
  </si>
  <si>
    <t>BV6</t>
  </si>
  <si>
    <t>PYX</t>
  </si>
  <si>
    <t>BV7A</t>
  </si>
  <si>
    <t>BV07B</t>
  </si>
  <si>
    <t>BV07C</t>
  </si>
  <si>
    <t>BV8</t>
  </si>
  <si>
    <t>Troc</t>
  </si>
  <si>
    <t>BV9</t>
  </si>
  <si>
    <t>px in TROC</t>
  </si>
  <si>
    <t>BV10</t>
  </si>
  <si>
    <t>MOLGN</t>
  </si>
  <si>
    <t>BV11</t>
  </si>
  <si>
    <t>BV12</t>
  </si>
  <si>
    <t>BV13</t>
  </si>
  <si>
    <t>opx OlGN</t>
  </si>
  <si>
    <t>BV14</t>
  </si>
  <si>
    <t>BV15</t>
  </si>
  <si>
    <t>BV17</t>
  </si>
  <si>
    <t>BV18</t>
  </si>
  <si>
    <t>An with ol MOTL</t>
  </si>
  <si>
    <t>BV19</t>
  </si>
  <si>
    <t>BV20</t>
  </si>
  <si>
    <t>BV21</t>
  </si>
  <si>
    <t>BV22</t>
  </si>
  <si>
    <t>BV23</t>
  </si>
  <si>
    <t>BV24B</t>
  </si>
  <si>
    <t>an-fault</t>
  </si>
  <si>
    <t>sub-unit</t>
  </si>
  <si>
    <t>Pt+Pd</t>
  </si>
  <si>
    <t>Standards (Expected values)</t>
  </si>
  <si>
    <t>TDB1</t>
  </si>
  <si>
    <t>5.8 ± 1.1</t>
  </si>
  <si>
    <t>22.4 ± 1.4</t>
  </si>
  <si>
    <t>6.3 ± 1.0</t>
  </si>
  <si>
    <t>WPR1</t>
  </si>
  <si>
    <t>IM-TDB1</t>
  </si>
  <si>
    <t>IM-WPR1</t>
  </si>
  <si>
    <t>Analysed standards</t>
  </si>
  <si>
    <t>SARM64</t>
  </si>
  <si>
    <t>WMG1</t>
  </si>
  <si>
    <t>5.8 +/- 1.1</t>
  </si>
  <si>
    <t>22.4 +/- 1.4</t>
  </si>
  <si>
    <t>6.3 +/- 1.0</t>
  </si>
  <si>
    <t>no data</t>
  </si>
  <si>
    <t>Certifed Reference Materials_analysed</t>
  </si>
  <si>
    <t>Standards_measured</t>
  </si>
  <si>
    <t>JD_2014</t>
  </si>
  <si>
    <t>JUL_2015</t>
  </si>
  <si>
    <t>OCT_2015</t>
  </si>
  <si>
    <t>FEB_2016</t>
  </si>
  <si>
    <t>AUG_2017</t>
  </si>
  <si>
    <t>JUN_2016</t>
  </si>
  <si>
    <t>JD09</t>
  </si>
  <si>
    <t>JD12_B</t>
  </si>
  <si>
    <t>JD19_B</t>
  </si>
  <si>
    <t>IM TDB1</t>
  </si>
  <si>
    <t>IM WPR1</t>
  </si>
  <si>
    <t>OCT_2017</t>
  </si>
  <si>
    <t xml:space="preserve">An with opx </t>
  </si>
  <si>
    <t>TROC/NORITE</t>
  </si>
  <si>
    <t>granite-troc cont</t>
  </si>
  <si>
    <t>norite lens in TROC</t>
  </si>
  <si>
    <t>motl An - troc</t>
  </si>
  <si>
    <t>Accuracy</t>
  </si>
  <si>
    <t>Precision</t>
  </si>
  <si>
    <t>% error</t>
  </si>
  <si>
    <t>RSD%</t>
  </si>
  <si>
    <t>Standard deviation (s)</t>
  </si>
  <si>
    <t>No DATA availible</t>
  </si>
  <si>
    <t>SARM-64</t>
  </si>
  <si>
    <t>Depth</t>
  </si>
  <si>
    <t>CH norm</t>
  </si>
  <si>
    <t>GRANITE</t>
  </si>
  <si>
    <t>OLMGN</t>
  </si>
  <si>
    <t>NORITE</t>
  </si>
  <si>
    <t>granitic</t>
  </si>
  <si>
    <t>troc-olgn</t>
  </si>
  <si>
    <t>ol norite</t>
  </si>
  <si>
    <t>TROC-OLGN</t>
  </si>
  <si>
    <t>OLGN</t>
  </si>
  <si>
    <t>norite</t>
  </si>
  <si>
    <t>troc</t>
  </si>
  <si>
    <t>ol Norite</t>
  </si>
  <si>
    <t>alt troc</t>
  </si>
  <si>
    <t>Xenoliths</t>
  </si>
  <si>
    <t>BV1 (m)</t>
  </si>
  <si>
    <t>LOG+MODAL+TEX</t>
  </si>
  <si>
    <t>BV1-TU2</t>
  </si>
  <si>
    <t>BV1-TU1</t>
  </si>
  <si>
    <t>Main Zone</t>
  </si>
  <si>
    <t>CIPW</t>
  </si>
  <si>
    <t>PGE analyses, analysed with ICP-MS</t>
  </si>
  <si>
    <t>Standard</t>
  </si>
  <si>
    <t>Rock type</t>
  </si>
  <si>
    <t>Type</t>
  </si>
  <si>
    <t>Origin/ source</t>
  </si>
  <si>
    <t>Deposit/ Reef</t>
  </si>
  <si>
    <t>Country</t>
  </si>
  <si>
    <t>Reference</t>
  </si>
  <si>
    <t>Chromitite (2001)</t>
  </si>
  <si>
    <t>powder</t>
  </si>
  <si>
    <t>South African Bureau of Standards, Pretoria</t>
  </si>
  <si>
    <t xml:space="preserve">UG2, Bushveld Complex </t>
  </si>
  <si>
    <t>South Africa</t>
  </si>
  <si>
    <t>MINTEK SARM64 report</t>
  </si>
  <si>
    <t>diabase</t>
  </si>
  <si>
    <t>CANMET Mining and Mineral Sciences Laboratories</t>
  </si>
  <si>
    <t>Tremblay Lake</t>
  </si>
  <si>
    <t>Canada</t>
  </si>
  <si>
    <t>CANMET report CCRMP 94-IE</t>
  </si>
  <si>
    <t>gabbro (1994)</t>
  </si>
  <si>
    <t>Geologial Survey of Canada and CCRMP</t>
  </si>
  <si>
    <t>Wellgreen Complex</t>
  </si>
  <si>
    <t>CANMET report CCRMP (2004)</t>
  </si>
  <si>
    <t>alt. peridotite (1994)</t>
  </si>
  <si>
    <t>CANMET report CCRMP (2010)</t>
  </si>
  <si>
    <t>Certified standards, metadata</t>
  </si>
  <si>
    <t>Depth_21W</t>
  </si>
  <si>
    <t>Depth (m)</t>
  </si>
  <si>
    <t>VSF2</t>
  </si>
  <si>
    <t>BV1_C</t>
  </si>
  <si>
    <t>UZ-MZb</t>
  </si>
  <si>
    <t>BV1_GC</t>
  </si>
  <si>
    <t>nd</t>
  </si>
  <si>
    <t>BV02_R</t>
  </si>
  <si>
    <t>Depth_UZ-MZ</t>
  </si>
  <si>
    <t>intrusion</t>
  </si>
  <si>
    <t>Depth BV_M</t>
  </si>
  <si>
    <t>Depth_VSF2_GC</t>
  </si>
  <si>
    <t>BV_C</t>
  </si>
  <si>
    <t>VSF2_M</t>
  </si>
  <si>
    <t>PGE</t>
  </si>
  <si>
    <t>func of TPGE</t>
  </si>
  <si>
    <t>%</t>
  </si>
  <si>
    <t>TOTAL</t>
  </si>
  <si>
    <t>olv-rich AN/ troc</t>
  </si>
  <si>
    <t>AN with pyx</t>
  </si>
  <si>
    <t>felsic intrusion</t>
  </si>
  <si>
    <t>granite dyke</t>
  </si>
  <si>
    <t>fine granite vein</t>
  </si>
  <si>
    <t>granitic veins</t>
  </si>
  <si>
    <t>granitic vein</t>
  </si>
  <si>
    <t>calc-silicate</t>
  </si>
  <si>
    <t>GN xeno</t>
  </si>
  <si>
    <t>meta sed</t>
  </si>
  <si>
    <t>chert</t>
  </si>
  <si>
    <t xml:space="preserve">granite </t>
  </si>
  <si>
    <t>G</t>
  </si>
  <si>
    <t>olGN</t>
  </si>
  <si>
    <t>N</t>
  </si>
  <si>
    <t>XENO</t>
  </si>
  <si>
    <t xml:space="preserve">An </t>
  </si>
  <si>
    <t>olN</t>
  </si>
  <si>
    <t>UM</t>
  </si>
  <si>
    <t>olG</t>
  </si>
  <si>
    <t>felsic</t>
  </si>
  <si>
    <t>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</si>
</sst>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Geneva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Alignment="1">
      <alignment horizontal="center"/>
    </xf>
    <xf numFmtId="0" fontId="3" fillId="2" borderId="0" xfId="0" applyFont="1" applyFill="1"/>
    <xf numFmtId="0" fontId="3" fillId="5" borderId="0" xfId="0" applyFont="1" applyFill="1"/>
    <xf numFmtId="0" fontId="3" fillId="3" borderId="0" xfId="0" applyFont="1" applyFill="1"/>
    <xf numFmtId="0" fontId="3" fillId="4" borderId="0" xfId="0" applyFont="1" applyFill="1"/>
    <xf numFmtId="0" fontId="5" fillId="0" borderId="0" xfId="0" applyFont="1" applyFill="1" applyAlignment="1">
      <alignment horizontal="center"/>
    </xf>
    <xf numFmtId="2" fontId="3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Fill="1" applyAlignment="1">
      <alignment horizontal="left"/>
    </xf>
    <xf numFmtId="17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1" fillId="0" borderId="0" xfId="0" applyFont="1"/>
    <xf numFmtId="0" fontId="7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2" fontId="5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6"/>
  <sheetViews>
    <sheetView zoomScale="90" zoomScaleNormal="90" workbookViewId="0">
      <pane xSplit="1" topLeftCell="B1" activePane="topRight" state="frozen"/>
      <selection pane="topRight" activeCell="N20" sqref="N20"/>
    </sheetView>
  </sheetViews>
  <sheetFormatPr defaultRowHeight="12"/>
  <cols>
    <col min="1" max="1" width="14.28515625" style="24" customWidth="1"/>
    <col min="2" max="2" width="14.28515625" style="32" customWidth="1"/>
    <col min="3" max="5" width="12.140625" style="12" customWidth="1"/>
    <col min="6" max="6" width="14" style="12" bestFit="1" customWidth="1"/>
    <col min="7" max="7" width="10.7109375" style="1" customWidth="1"/>
    <col min="8" max="16" width="9.7109375" style="12" customWidth="1"/>
    <col min="17" max="17" width="9.7109375" style="8" customWidth="1"/>
    <col min="18" max="21" width="9.7109375" style="12" customWidth="1"/>
    <col min="22" max="22" width="9.7109375" style="8" customWidth="1"/>
    <col min="23" max="24" width="9.7109375" style="12" customWidth="1"/>
    <col min="25" max="25" width="9.7109375" style="8" customWidth="1"/>
    <col min="26" max="26" width="9.7109375" style="11" customWidth="1"/>
    <col min="27" max="27" width="9.7109375" style="8" customWidth="1"/>
    <col min="28" max="28" width="10.85546875" style="8" bestFit="1" customWidth="1"/>
    <col min="29" max="29" width="10.28515625" style="8" customWidth="1"/>
    <col min="30" max="38" width="9.140625" style="11"/>
    <col min="39" max="39" width="10" style="11" bestFit="1" customWidth="1"/>
    <col min="40" max="16384" width="9.140625" style="11"/>
  </cols>
  <sheetData>
    <row r="1" spans="1:47" s="1" customFormat="1">
      <c r="A1" s="24" t="s">
        <v>122</v>
      </c>
      <c r="B1" s="32" t="s">
        <v>259</v>
      </c>
      <c r="C1" s="32" t="s">
        <v>260</v>
      </c>
      <c r="D1" s="32" t="s">
        <v>260</v>
      </c>
      <c r="E1" s="32" t="s">
        <v>260</v>
      </c>
      <c r="F1" s="32" t="s">
        <v>27</v>
      </c>
      <c r="G1" s="32" t="s">
        <v>123</v>
      </c>
      <c r="H1" s="3" t="s">
        <v>0</v>
      </c>
      <c r="I1" s="3" t="s">
        <v>1</v>
      </c>
      <c r="J1" s="3" t="s">
        <v>2</v>
      </c>
      <c r="K1" s="3" t="s">
        <v>3</v>
      </c>
      <c r="L1" s="3" t="s">
        <v>4</v>
      </c>
      <c r="M1" s="3" t="s">
        <v>5</v>
      </c>
      <c r="N1" s="3" t="s">
        <v>6</v>
      </c>
      <c r="O1" s="3"/>
      <c r="P1" s="3" t="s">
        <v>125</v>
      </c>
      <c r="Q1" s="3" t="s">
        <v>170</v>
      </c>
      <c r="R1" s="3" t="s">
        <v>57</v>
      </c>
      <c r="S1" s="3" t="s">
        <v>298</v>
      </c>
      <c r="T1" s="3" t="s">
        <v>129</v>
      </c>
      <c r="U1" s="3" t="s">
        <v>61</v>
      </c>
      <c r="V1" s="3" t="s">
        <v>128</v>
      </c>
      <c r="W1" s="3" t="s">
        <v>95</v>
      </c>
      <c r="X1" s="3" t="s">
        <v>96</v>
      </c>
      <c r="Y1" s="3"/>
      <c r="Z1" s="32" t="s">
        <v>126</v>
      </c>
      <c r="AA1" s="3" t="s">
        <v>62</v>
      </c>
      <c r="AB1" s="3" t="s">
        <v>97</v>
      </c>
      <c r="AC1" s="3"/>
      <c r="AD1" s="1" t="s">
        <v>213</v>
      </c>
      <c r="AE1" s="32" t="s">
        <v>0</v>
      </c>
      <c r="AF1" s="32" t="s">
        <v>1</v>
      </c>
      <c r="AG1" s="32" t="s">
        <v>2</v>
      </c>
      <c r="AH1" s="32" t="s">
        <v>3</v>
      </c>
      <c r="AI1" s="32" t="s">
        <v>4</v>
      </c>
      <c r="AJ1" s="32" t="s">
        <v>5</v>
      </c>
      <c r="AK1" s="32" t="s">
        <v>6</v>
      </c>
      <c r="AM1" s="24" t="s">
        <v>273</v>
      </c>
      <c r="AN1" s="33" t="s">
        <v>0</v>
      </c>
      <c r="AO1" s="33" t="s">
        <v>1</v>
      </c>
      <c r="AP1" s="33" t="s">
        <v>2</v>
      </c>
      <c r="AQ1" s="33" t="s">
        <v>3</v>
      </c>
      <c r="AR1" s="33" t="s">
        <v>4</v>
      </c>
      <c r="AS1" s="33" t="s">
        <v>5</v>
      </c>
      <c r="AT1" s="33" t="s">
        <v>6</v>
      </c>
      <c r="AU1" s="33" t="s">
        <v>276</v>
      </c>
    </row>
    <row r="2" spans="1:47" s="1" customFormat="1">
      <c r="A2" s="24"/>
      <c r="B2" s="32" t="s">
        <v>261</v>
      </c>
      <c r="C2" s="32" t="s">
        <v>262</v>
      </c>
      <c r="D2" s="32" t="s">
        <v>263</v>
      </c>
      <c r="E2" s="32" t="s">
        <v>264</v>
      </c>
      <c r="F2" s="32" t="s">
        <v>232</v>
      </c>
      <c r="H2" s="3" t="s">
        <v>124</v>
      </c>
      <c r="I2" s="3" t="s">
        <v>124</v>
      </c>
      <c r="J2" s="3" t="s">
        <v>124</v>
      </c>
      <c r="K2" s="3" t="s">
        <v>124</v>
      </c>
      <c r="L2" s="3" t="s">
        <v>124</v>
      </c>
      <c r="M2" s="3" t="s">
        <v>124</v>
      </c>
      <c r="N2" s="3" t="s">
        <v>124</v>
      </c>
      <c r="O2" s="3"/>
      <c r="P2" s="3"/>
      <c r="Q2" s="3" t="s">
        <v>124</v>
      </c>
      <c r="R2" s="3" t="s">
        <v>124</v>
      </c>
      <c r="S2" s="3" t="s">
        <v>124</v>
      </c>
      <c r="T2" s="3" t="s">
        <v>124</v>
      </c>
      <c r="U2" s="3" t="s">
        <v>124</v>
      </c>
      <c r="V2" s="3" t="s">
        <v>124</v>
      </c>
      <c r="W2" s="3" t="s">
        <v>124</v>
      </c>
      <c r="X2" s="3" t="s">
        <v>124</v>
      </c>
      <c r="Y2" s="3"/>
      <c r="AA2" s="3" t="s">
        <v>127</v>
      </c>
      <c r="AB2" s="3" t="s">
        <v>127</v>
      </c>
      <c r="AC2" s="3"/>
      <c r="AE2" s="32" t="s">
        <v>127</v>
      </c>
      <c r="AF2" s="32" t="s">
        <v>127</v>
      </c>
      <c r="AG2" s="32" t="s">
        <v>127</v>
      </c>
      <c r="AH2" s="32" t="s">
        <v>127</v>
      </c>
      <c r="AI2" s="32" t="s">
        <v>127</v>
      </c>
      <c r="AJ2" s="32" t="s">
        <v>127</v>
      </c>
      <c r="AK2" s="32" t="s">
        <v>127</v>
      </c>
      <c r="AM2" s="24" t="s">
        <v>274</v>
      </c>
      <c r="AN2" s="33" t="s">
        <v>275</v>
      </c>
      <c r="AO2" s="33" t="s">
        <v>275</v>
      </c>
      <c r="AP2" s="33" t="s">
        <v>275</v>
      </c>
      <c r="AQ2" s="33" t="s">
        <v>275</v>
      </c>
      <c r="AR2" s="33" t="s">
        <v>275</v>
      </c>
      <c r="AS2" s="33" t="s">
        <v>275</v>
      </c>
      <c r="AT2" s="33" t="s">
        <v>275</v>
      </c>
      <c r="AU2" s="33" t="s">
        <v>275</v>
      </c>
    </row>
    <row r="3" spans="1:47" s="1" customFormat="1">
      <c r="A3" s="24"/>
      <c r="B3" s="32"/>
      <c r="C3" s="32"/>
      <c r="D3" s="12"/>
      <c r="E3" s="12"/>
      <c r="F3" s="38"/>
      <c r="G3" s="3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A3" s="3"/>
      <c r="AB3" s="3"/>
      <c r="AC3" s="3"/>
    </row>
    <row r="4" spans="1:47" s="1" customFormat="1">
      <c r="A4" s="24" t="s">
        <v>134</v>
      </c>
      <c r="B4" s="32"/>
      <c r="C4" s="32"/>
      <c r="D4" s="12"/>
      <c r="E4" s="12"/>
      <c r="F4" s="20"/>
      <c r="G4" s="3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s="3"/>
      <c r="AB4" s="3"/>
      <c r="AC4" s="3"/>
    </row>
    <row r="5" spans="1:47">
      <c r="A5" s="24" t="s">
        <v>22</v>
      </c>
      <c r="B5" s="8">
        <v>217.20178692405</v>
      </c>
      <c r="C5" s="8">
        <v>2938.8999999999996</v>
      </c>
      <c r="D5" s="8">
        <v>-1363.0999999999997</v>
      </c>
      <c r="E5" s="8">
        <v>2964.7999999999993</v>
      </c>
      <c r="F5" s="20" t="s">
        <v>136</v>
      </c>
      <c r="G5" s="32" t="s">
        <v>191</v>
      </c>
      <c r="H5" s="8">
        <v>1.1399363306614501</v>
      </c>
      <c r="I5" s="8">
        <v>1.0272075343114735</v>
      </c>
      <c r="J5" s="8">
        <v>5.1870461210393479</v>
      </c>
      <c r="K5" s="8">
        <v>6.7461410142687113</v>
      </c>
      <c r="L5" s="8">
        <v>66.143072800929332</v>
      </c>
      <c r="M5" s="8">
        <v>26.251376369060907</v>
      </c>
      <c r="N5" s="8">
        <v>0.7244787039790862</v>
      </c>
      <c r="O5" s="8"/>
      <c r="P5" s="8"/>
      <c r="Q5" s="8">
        <f>L5+M5</f>
        <v>92.394449169990239</v>
      </c>
      <c r="R5" s="8">
        <f>L5+M5+N5</f>
        <v>93.118927873969326</v>
      </c>
      <c r="S5" s="8">
        <f>K5+L5+M5</f>
        <v>99.140590184258954</v>
      </c>
      <c r="T5" s="8">
        <f>K5+L5+M5+N5</f>
        <v>99.865068888238042</v>
      </c>
      <c r="U5" s="8">
        <f>H5+I5+J5+K5+L5+M5</f>
        <v>106.49478017027123</v>
      </c>
      <c r="V5" s="8">
        <f>H5+I5+J5+K5+L5+M5+N5</f>
        <v>107.21925887425031</v>
      </c>
      <c r="W5" s="8">
        <f>K5+L5+M5</f>
        <v>99.140590184258954</v>
      </c>
      <c r="X5" s="8">
        <f>H5+I5+J5</f>
        <v>7.3541899860122717</v>
      </c>
      <c r="AA5" s="8">
        <f>L5/M5</f>
        <v>2.5196039960359409</v>
      </c>
      <c r="AB5" s="8">
        <f>W5/X5</f>
        <v>13.480830706417043</v>
      </c>
      <c r="AE5" s="15">
        <f>H5/486</f>
        <v>2.3455480054762347E-3</v>
      </c>
      <c r="AF5" s="15">
        <f>I5/470</f>
        <v>2.1855479453435607E-3</v>
      </c>
      <c r="AG5" s="15">
        <f>J5/692</f>
        <v>7.4957313887851849E-3</v>
      </c>
      <c r="AH5" s="15">
        <f>K5/141</f>
        <v>4.7844971732402208E-2</v>
      </c>
      <c r="AI5" s="15">
        <f>L5/1004</f>
        <v>6.5879554582598934E-2</v>
      </c>
      <c r="AJ5" s="15">
        <f>M5/588</f>
        <v>4.4645197906566167E-2</v>
      </c>
      <c r="AK5" s="15">
        <f>N5/146</f>
        <v>4.9621829039663435E-3</v>
      </c>
      <c r="AN5" s="14">
        <f>100*H5/V5</f>
        <v>1.0631824381461157</v>
      </c>
      <c r="AO5" s="14">
        <f>100*I5/V5</f>
        <v>0.95804386739532543</v>
      </c>
      <c r="AP5" s="14">
        <f>100*J5/V5</f>
        <v>4.8377932989845212</v>
      </c>
      <c r="AQ5" s="14">
        <f>100*K5/V5</f>
        <v>6.291911625858905</v>
      </c>
      <c r="AR5" s="14">
        <f>100*L5/V5</f>
        <v>61.689544859197113</v>
      </c>
      <c r="AS5" s="14">
        <f>100*M5/V5</f>
        <v>24.48382561555405</v>
      </c>
      <c r="AT5" s="14">
        <f>100*N5/V5</f>
        <v>0.6756982948639616</v>
      </c>
      <c r="AU5" s="14">
        <f>AT5+AS5+AR5+AQ5+AP5+AO5+AN5</f>
        <v>100</v>
      </c>
    </row>
    <row r="6" spans="1:47">
      <c r="A6" s="24" t="s">
        <v>23</v>
      </c>
      <c r="B6" s="8">
        <v>217.20178692405</v>
      </c>
      <c r="C6" s="8">
        <v>2938.8999999999996</v>
      </c>
      <c r="D6" s="8">
        <v>-1363.0999999999997</v>
      </c>
      <c r="E6" s="8">
        <v>2964.7999999999993</v>
      </c>
      <c r="F6" s="20" t="s">
        <v>277</v>
      </c>
      <c r="G6" s="32" t="s">
        <v>191</v>
      </c>
      <c r="H6" s="8">
        <v>1.1831918073068266</v>
      </c>
      <c r="I6" s="8">
        <v>2.1186092966784815</v>
      </c>
      <c r="J6" s="8">
        <v>3.4853758926415042</v>
      </c>
      <c r="K6" s="8">
        <v>17.28763174026107</v>
      </c>
      <c r="L6" s="8">
        <v>203.49734808804098</v>
      </c>
      <c r="M6" s="8">
        <v>599.83246103403292</v>
      </c>
      <c r="N6" s="8">
        <v>23.238833220582922</v>
      </c>
      <c r="O6" s="8"/>
      <c r="P6" s="8"/>
      <c r="Q6" s="8">
        <f t="shared" ref="Q6:Q47" si="0">L6+M6</f>
        <v>803.32980912207393</v>
      </c>
      <c r="R6" s="8">
        <f t="shared" ref="R6:R47" si="1">L6+M6+N6</f>
        <v>826.56864234265686</v>
      </c>
      <c r="S6" s="8">
        <f t="shared" ref="S6:S47" si="2">K6+L6+M6</f>
        <v>820.617440862335</v>
      </c>
      <c r="T6" s="8">
        <f t="shared" ref="T6:T47" si="3">K6+L6+M6+N6</f>
        <v>843.85627408291793</v>
      </c>
      <c r="U6" s="8">
        <f t="shared" ref="U6:U47" si="4">H6+I6+J6+K6+L6+M6</f>
        <v>827.40461785896173</v>
      </c>
      <c r="V6" s="8">
        <f t="shared" ref="V6:V47" si="5">H6+I6+J6+K6+L6+M6+N6</f>
        <v>850.64345107954466</v>
      </c>
      <c r="W6" s="8">
        <f t="shared" ref="W6:W47" si="6">K6+L6+M6</f>
        <v>820.617440862335</v>
      </c>
      <c r="X6" s="8">
        <f t="shared" ref="X6:X47" si="7">H6+I6+J6</f>
        <v>6.7871769966268118</v>
      </c>
      <c r="AA6" s="8">
        <f t="shared" ref="AA6:AA47" si="8">L6/M6</f>
        <v>0.33925697808557759</v>
      </c>
      <c r="AB6" s="8">
        <f t="shared" ref="AB6:AB47" si="9">W6/X6</f>
        <v>120.90703414249801</v>
      </c>
      <c r="AE6" s="15">
        <f t="shared" ref="AE6:AE47" si="10">H6/486</f>
        <v>2.4345510438412072E-3</v>
      </c>
      <c r="AF6" s="15">
        <f t="shared" ref="AF6:AF47" si="11">I6/470</f>
        <v>4.5076793546350667E-3</v>
      </c>
      <c r="AG6" s="15">
        <f t="shared" ref="AG6:AG47" si="12">J6/692</f>
        <v>5.0366703650888784E-3</v>
      </c>
      <c r="AH6" s="15">
        <f t="shared" ref="AH6:AH47" si="13">K6/141</f>
        <v>0.12260731730681609</v>
      </c>
      <c r="AI6" s="15">
        <f t="shared" ref="AI6:AI47" si="14">L6/1004</f>
        <v>0.20268660168131572</v>
      </c>
      <c r="AJ6" s="15">
        <f t="shared" ref="AJ6:AJ47" si="15">M6/588</f>
        <v>1.0201232330510763</v>
      </c>
      <c r="AK6" s="15">
        <f t="shared" ref="AK6:AK47" si="16">N6/146</f>
        <v>0.15917009055193782</v>
      </c>
      <c r="AN6" s="14">
        <f t="shared" ref="AN6:AN47" si="17">100*H6/V6</f>
        <v>0.13909374201438307</v>
      </c>
      <c r="AO6" s="14">
        <f t="shared" ref="AO6:AO47" si="18">100*I6/V6</f>
        <v>0.24905961410621238</v>
      </c>
      <c r="AP6" s="14">
        <f t="shared" ref="AP6:AP47" si="19">100*J6/V6</f>
        <v>0.4097340534648497</v>
      </c>
      <c r="AQ6" s="14">
        <f t="shared" ref="AQ6:AQ47" si="20">100*K6/V6</f>
        <v>2.032300574150248</v>
      </c>
      <c r="AR6" s="14">
        <f t="shared" ref="AR6:AR47" si="21">100*L6/V6</f>
        <v>23.922754925084551</v>
      </c>
      <c r="AS6" s="14">
        <f t="shared" ref="AS6:AS47" si="22">100*M6/V6</f>
        <v>70.515144773381891</v>
      </c>
      <c r="AT6" s="14">
        <f t="shared" ref="AT6:AT47" si="23">100*N6/V6</f>
        <v>2.7319123177978635</v>
      </c>
      <c r="AU6" s="14">
        <f t="shared" ref="AU6:AU47" si="24">AT6+AS6+AR6+AQ6+AP6+AO6+AN6</f>
        <v>99.999999999999986</v>
      </c>
    </row>
    <row r="7" spans="1:47">
      <c r="A7" s="24" t="s">
        <v>24</v>
      </c>
      <c r="B7" s="8">
        <v>217.20178692405</v>
      </c>
      <c r="C7" s="8">
        <v>2938.8999999999996</v>
      </c>
      <c r="D7" s="8">
        <v>-1363.0999999999997</v>
      </c>
      <c r="E7" s="8">
        <v>2964.7999999999993</v>
      </c>
      <c r="F7" s="20" t="s">
        <v>136</v>
      </c>
      <c r="G7" s="32" t="s">
        <v>191</v>
      </c>
      <c r="H7" s="8">
        <v>9.0986080860088955E-2</v>
      </c>
      <c r="I7" s="8">
        <v>5.1933810506480625E-2</v>
      </c>
      <c r="J7" s="8">
        <v>0.1933445552876146</v>
      </c>
      <c r="K7" s="8">
        <v>0.35155001034851591</v>
      </c>
      <c r="L7" s="8">
        <v>3.467207630375392</v>
      </c>
      <c r="M7" s="8">
        <v>3.1317194048489956</v>
      </c>
      <c r="N7" s="8">
        <v>0.26277133081375592</v>
      </c>
      <c r="O7" s="8"/>
      <c r="P7" s="8"/>
      <c r="Q7" s="8">
        <f t="shared" si="0"/>
        <v>6.5989270352243876</v>
      </c>
      <c r="R7" s="8">
        <f t="shared" si="1"/>
        <v>6.8616983660381434</v>
      </c>
      <c r="S7" s="8">
        <f t="shared" si="2"/>
        <v>6.950477045572903</v>
      </c>
      <c r="T7" s="8">
        <f t="shared" si="3"/>
        <v>7.2132483763866588</v>
      </c>
      <c r="U7" s="8">
        <f t="shared" si="4"/>
        <v>7.2867414922270877</v>
      </c>
      <c r="V7" s="8">
        <f t="shared" si="5"/>
        <v>7.5495128230408435</v>
      </c>
      <c r="W7" s="8">
        <f t="shared" si="6"/>
        <v>6.950477045572903</v>
      </c>
      <c r="X7" s="8">
        <f t="shared" si="7"/>
        <v>0.3362644466541842</v>
      </c>
      <c r="AA7" s="8">
        <f t="shared" si="8"/>
        <v>1.1071258890585611</v>
      </c>
      <c r="AB7" s="8">
        <f t="shared" si="9"/>
        <v>20.669675651796766</v>
      </c>
      <c r="AE7" s="15">
        <f t="shared" si="10"/>
        <v>1.8721415814833118E-4</v>
      </c>
      <c r="AF7" s="15">
        <f t="shared" si="11"/>
        <v>1.1049746916272474E-4</v>
      </c>
      <c r="AG7" s="15">
        <f t="shared" si="12"/>
        <v>2.7939964636938526E-4</v>
      </c>
      <c r="AH7" s="15">
        <f t="shared" si="13"/>
        <v>2.4932624847412476E-3</v>
      </c>
      <c r="AI7" s="15">
        <f t="shared" si="14"/>
        <v>3.4533940541587572E-3</v>
      </c>
      <c r="AJ7" s="15">
        <f t="shared" si="15"/>
        <v>5.3260534096071354E-3</v>
      </c>
      <c r="AK7" s="15">
        <f t="shared" si="16"/>
        <v>1.7998036357106571E-3</v>
      </c>
      <c r="AN7" s="14">
        <f t="shared" si="17"/>
        <v>1.2051914208609948</v>
      </c>
      <c r="AO7" s="14">
        <f t="shared" si="18"/>
        <v>0.68790942838033853</v>
      </c>
      <c r="AP7" s="14">
        <f t="shared" si="19"/>
        <v>2.561020291236991</v>
      </c>
      <c r="AQ7" s="14">
        <f t="shared" si="20"/>
        <v>4.6565920025408509</v>
      </c>
      <c r="AR7" s="14">
        <f t="shared" si="21"/>
        <v>45.926243343724089</v>
      </c>
      <c r="AS7" s="14">
        <f t="shared" si="22"/>
        <v>41.48240394123313</v>
      </c>
      <c r="AT7" s="14">
        <f t="shared" si="23"/>
        <v>3.4806395720236041</v>
      </c>
      <c r="AU7" s="14">
        <f t="shared" si="24"/>
        <v>99.999999999999986</v>
      </c>
    </row>
    <row r="8" spans="1:47">
      <c r="A8" s="24" t="s">
        <v>35</v>
      </c>
      <c r="B8" s="8">
        <v>226.47978065000001</v>
      </c>
      <c r="C8" s="8">
        <v>2948.18</v>
      </c>
      <c r="D8" s="8">
        <v>-1372.3799999999999</v>
      </c>
      <c r="E8" s="8">
        <v>2974.0799999999995</v>
      </c>
      <c r="F8" s="20" t="s">
        <v>109</v>
      </c>
      <c r="G8" s="32" t="s">
        <v>190</v>
      </c>
      <c r="H8" s="8">
        <v>0.51781758284848756</v>
      </c>
      <c r="I8" s="8">
        <v>0.37916968516953098</v>
      </c>
      <c r="J8" s="8">
        <v>3.1485979217991833</v>
      </c>
      <c r="K8" s="8">
        <v>0.58092505060719546</v>
      </c>
      <c r="L8" s="8">
        <v>4.078208889946775</v>
      </c>
      <c r="M8" s="8">
        <v>8.1723444931933749</v>
      </c>
      <c r="N8" s="8">
        <v>0.56172647946718035</v>
      </c>
      <c r="O8" s="8"/>
      <c r="P8" s="8"/>
      <c r="Q8" s="8">
        <f t="shared" si="0"/>
        <v>12.250553383140151</v>
      </c>
      <c r="R8" s="8">
        <f t="shared" si="1"/>
        <v>12.812279862607332</v>
      </c>
      <c r="S8" s="8">
        <f t="shared" si="2"/>
        <v>12.831478433747346</v>
      </c>
      <c r="T8" s="8">
        <f t="shared" si="3"/>
        <v>13.393204913214527</v>
      </c>
      <c r="U8" s="8">
        <f t="shared" si="4"/>
        <v>16.877063623564545</v>
      </c>
      <c r="V8" s="8">
        <f t="shared" si="5"/>
        <v>17.438790103031724</v>
      </c>
      <c r="W8" s="8">
        <f t="shared" si="6"/>
        <v>12.831478433747346</v>
      </c>
      <c r="X8" s="8">
        <f t="shared" si="7"/>
        <v>4.0455851898172019</v>
      </c>
      <c r="AA8" s="8">
        <f t="shared" si="8"/>
        <v>0.49902557256898006</v>
      </c>
      <c r="AB8" s="8">
        <f t="shared" si="9"/>
        <v>3.1717237016895279</v>
      </c>
      <c r="AE8" s="15">
        <f t="shared" si="10"/>
        <v>1.0654682774660239E-3</v>
      </c>
      <c r="AF8" s="15">
        <f t="shared" si="11"/>
        <v>8.0674401099900203E-4</v>
      </c>
      <c r="AG8" s="15">
        <f t="shared" si="12"/>
        <v>4.5499969968196292E-3</v>
      </c>
      <c r="AH8" s="15">
        <f t="shared" si="13"/>
        <v>4.1200358199091876E-3</v>
      </c>
      <c r="AI8" s="15">
        <f t="shared" si="14"/>
        <v>4.0619610457637203E-3</v>
      </c>
      <c r="AJ8" s="15">
        <f t="shared" si="15"/>
        <v>1.3898545056451318E-2</v>
      </c>
      <c r="AK8" s="15">
        <f t="shared" si="16"/>
        <v>3.8474416401861667E-3</v>
      </c>
      <c r="AN8" s="14">
        <f t="shared" si="17"/>
        <v>2.9693435140231732</v>
      </c>
      <c r="AO8" s="14">
        <f t="shared" si="18"/>
        <v>2.1742889439538153</v>
      </c>
      <c r="AP8" s="14">
        <f t="shared" si="19"/>
        <v>18.055139738460415</v>
      </c>
      <c r="AQ8" s="14">
        <f t="shared" si="20"/>
        <v>3.3312233656978414</v>
      </c>
      <c r="AR8" s="14">
        <f t="shared" si="21"/>
        <v>23.385847675509211</v>
      </c>
      <c r="AS8" s="14">
        <f t="shared" si="22"/>
        <v>46.863024584329487</v>
      </c>
      <c r="AT8" s="14">
        <f t="shared" si="23"/>
        <v>3.2211321780260693</v>
      </c>
      <c r="AU8" s="14">
        <f t="shared" si="24"/>
        <v>100</v>
      </c>
    </row>
    <row r="9" spans="1:47">
      <c r="A9" s="24" t="s">
        <v>36</v>
      </c>
      <c r="B9" s="8">
        <v>226.47978065000001</v>
      </c>
      <c r="C9" s="8">
        <v>2948.18</v>
      </c>
      <c r="D9" s="8">
        <v>-1372.3799999999999</v>
      </c>
      <c r="E9" s="8">
        <v>2974.0799999999995</v>
      </c>
      <c r="F9" s="20" t="s">
        <v>136</v>
      </c>
      <c r="G9" s="32" t="s">
        <v>190</v>
      </c>
      <c r="H9" s="8">
        <v>3.4704513299091258E-2</v>
      </c>
      <c r="I9" s="8">
        <v>6.5626513132367004E-2</v>
      </c>
      <c r="J9" s="8">
        <v>0.30375691398551141</v>
      </c>
      <c r="K9" s="8">
        <v>0.32789225543210776</v>
      </c>
      <c r="L9" s="8">
        <v>1.6694595920345798</v>
      </c>
      <c r="M9" s="8">
        <v>1.2968292485844</v>
      </c>
      <c r="N9" s="8">
        <v>0.51102252883766575</v>
      </c>
      <c r="O9" s="8"/>
      <c r="P9" s="8"/>
      <c r="Q9" s="8">
        <f t="shared" si="0"/>
        <v>2.9662888406189798</v>
      </c>
      <c r="R9" s="8">
        <f t="shared" si="1"/>
        <v>3.4773113694566455</v>
      </c>
      <c r="S9" s="8">
        <f t="shared" si="2"/>
        <v>3.2941810960510876</v>
      </c>
      <c r="T9" s="8">
        <f t="shared" si="3"/>
        <v>3.8052036248887533</v>
      </c>
      <c r="U9" s="8">
        <f t="shared" si="4"/>
        <v>3.6982690364680573</v>
      </c>
      <c r="V9" s="8">
        <f t="shared" si="5"/>
        <v>4.2092915653057226</v>
      </c>
      <c r="W9" s="8">
        <f t="shared" si="6"/>
        <v>3.2941810960510876</v>
      </c>
      <c r="X9" s="8">
        <f t="shared" si="7"/>
        <v>0.40408794041696966</v>
      </c>
      <c r="AA9" s="8">
        <f t="shared" si="8"/>
        <v>1.2873395582779597</v>
      </c>
      <c r="AB9" s="8">
        <f t="shared" si="9"/>
        <v>8.1521390929209439</v>
      </c>
      <c r="AE9" s="15">
        <f t="shared" si="10"/>
        <v>7.1408463578377079E-5</v>
      </c>
      <c r="AF9" s="15">
        <f t="shared" si="11"/>
        <v>1.3963087900503617E-4</v>
      </c>
      <c r="AG9" s="15">
        <f t="shared" si="12"/>
        <v>4.3895507801374481E-4</v>
      </c>
      <c r="AH9" s="15">
        <f t="shared" si="13"/>
        <v>2.3254769888801968E-3</v>
      </c>
      <c r="AI9" s="15">
        <f t="shared" si="14"/>
        <v>1.6628083586001791E-3</v>
      </c>
      <c r="AJ9" s="15">
        <f t="shared" si="15"/>
        <v>2.2054919193612243E-3</v>
      </c>
      <c r="AK9" s="15">
        <f t="shared" si="16"/>
        <v>3.5001543071072998E-3</v>
      </c>
      <c r="AN9" s="14">
        <f t="shared" si="17"/>
        <v>0.82447397051647708</v>
      </c>
      <c r="AO9" s="14">
        <f t="shared" si="18"/>
        <v>1.5590868941767051</v>
      </c>
      <c r="AP9" s="14">
        <f t="shared" si="19"/>
        <v>7.2163429230982583</v>
      </c>
      <c r="AQ9" s="14">
        <f t="shared" si="20"/>
        <v>7.7897254287323952</v>
      </c>
      <c r="AR9" s="14">
        <f t="shared" si="21"/>
        <v>39.66129611440509</v>
      </c>
      <c r="AS9" s="14">
        <f t="shared" si="22"/>
        <v>30.808729413596961</v>
      </c>
      <c r="AT9" s="14">
        <f t="shared" si="23"/>
        <v>12.140345255474124</v>
      </c>
      <c r="AU9" s="14">
        <f t="shared" si="24"/>
        <v>100</v>
      </c>
    </row>
    <row r="10" spans="1:47">
      <c r="A10" s="24" t="s">
        <v>26</v>
      </c>
      <c r="B10" s="8" t="s">
        <v>265</v>
      </c>
      <c r="C10" s="8" t="s">
        <v>265</v>
      </c>
      <c r="D10" s="8" t="s">
        <v>265</v>
      </c>
      <c r="E10" s="8" t="s">
        <v>265</v>
      </c>
      <c r="F10" s="20" t="s">
        <v>278</v>
      </c>
      <c r="G10" s="32" t="s">
        <v>191</v>
      </c>
      <c r="H10" s="8">
        <v>9.3770413881999998E-2</v>
      </c>
      <c r="I10" s="8">
        <v>5.9986238430477061E-2</v>
      </c>
      <c r="J10" s="8">
        <v>0.14133254934922176</v>
      </c>
      <c r="K10" s="8">
        <v>0.46850284174803242</v>
      </c>
      <c r="L10" s="8">
        <v>1.8314604845298856</v>
      </c>
      <c r="M10" s="8">
        <v>2.0861273089665708</v>
      </c>
      <c r="N10" s="8">
        <v>13.604235783493234</v>
      </c>
      <c r="O10" s="8"/>
      <c r="P10" s="8"/>
      <c r="Q10" s="8">
        <f t="shared" si="0"/>
        <v>3.9175877934964562</v>
      </c>
      <c r="R10" s="8">
        <f t="shared" si="1"/>
        <v>17.521823576989689</v>
      </c>
      <c r="S10" s="8">
        <f t="shared" si="2"/>
        <v>4.3860906352444893</v>
      </c>
      <c r="T10" s="8">
        <f t="shared" si="3"/>
        <v>17.990326418737723</v>
      </c>
      <c r="U10" s="8">
        <f t="shared" si="4"/>
        <v>4.6811798369061872</v>
      </c>
      <c r="V10" s="8">
        <f t="shared" si="5"/>
        <v>18.285415620399419</v>
      </c>
      <c r="W10" s="8">
        <f t="shared" si="6"/>
        <v>4.3860906352444893</v>
      </c>
      <c r="X10" s="8">
        <f t="shared" si="7"/>
        <v>0.29508920166169883</v>
      </c>
      <c r="AA10" s="8">
        <f t="shared" si="8"/>
        <v>0.87792364188797156</v>
      </c>
      <c r="AB10" s="8">
        <f t="shared" si="9"/>
        <v>14.863609412156212</v>
      </c>
      <c r="AE10" s="15">
        <f t="shared" si="10"/>
        <v>1.9294323844032922E-4</v>
      </c>
      <c r="AF10" s="15">
        <f t="shared" si="11"/>
        <v>1.2763029453292992E-4</v>
      </c>
      <c r="AG10" s="15">
        <f t="shared" si="12"/>
        <v>2.0423778807691006E-4</v>
      </c>
      <c r="AH10" s="15">
        <f t="shared" si="13"/>
        <v>3.3227151897023575E-3</v>
      </c>
      <c r="AI10" s="15">
        <f t="shared" si="14"/>
        <v>1.8241638292130335E-3</v>
      </c>
      <c r="AJ10" s="15">
        <f t="shared" si="15"/>
        <v>3.5478355594669572E-3</v>
      </c>
      <c r="AK10" s="15">
        <f t="shared" si="16"/>
        <v>9.3179697147213927E-2</v>
      </c>
      <c r="AN10" s="14">
        <f t="shared" si="17"/>
        <v>0.51281532686294895</v>
      </c>
      <c r="AO10" s="14">
        <f t="shared" si="18"/>
        <v>0.32805509962571328</v>
      </c>
      <c r="AP10" s="14">
        <f t="shared" si="19"/>
        <v>0.77292500363814287</v>
      </c>
      <c r="AQ10" s="14">
        <f t="shared" si="20"/>
        <v>2.5621667643439578</v>
      </c>
      <c r="AR10" s="14">
        <f t="shared" si="21"/>
        <v>10.015963118096629</v>
      </c>
      <c r="AS10" s="14">
        <f t="shared" si="22"/>
        <v>11.408695062086876</v>
      </c>
      <c r="AT10" s="14">
        <f t="shared" si="23"/>
        <v>74.399379625345745</v>
      </c>
      <c r="AU10" s="14">
        <f t="shared" si="24"/>
        <v>100.00000000000001</v>
      </c>
    </row>
    <row r="11" spans="1:47">
      <c r="B11" s="8"/>
      <c r="C11" s="8"/>
      <c r="D11" s="8"/>
      <c r="E11" s="8"/>
      <c r="H11" s="8"/>
      <c r="I11" s="8"/>
      <c r="J11" s="8"/>
      <c r="K11" s="8"/>
      <c r="L11" s="8"/>
      <c r="M11" s="8"/>
      <c r="N11" s="8"/>
      <c r="O11" s="8"/>
      <c r="P11" s="8"/>
      <c r="R11" s="8"/>
      <c r="S11" s="8"/>
      <c r="T11" s="8"/>
      <c r="U11" s="8"/>
      <c r="W11" s="8"/>
      <c r="X11" s="8"/>
      <c r="AE11" s="15"/>
      <c r="AF11" s="15"/>
      <c r="AG11" s="15"/>
      <c r="AH11" s="15"/>
      <c r="AI11" s="15"/>
      <c r="AJ11" s="15"/>
      <c r="AK11" s="15"/>
      <c r="AN11" s="14"/>
      <c r="AO11" s="14"/>
      <c r="AP11" s="14"/>
      <c r="AQ11" s="14"/>
      <c r="AR11" s="14"/>
      <c r="AS11" s="14"/>
      <c r="AT11" s="14"/>
      <c r="AU11" s="14"/>
    </row>
    <row r="12" spans="1:47" s="1" customFormat="1">
      <c r="A12" s="24"/>
      <c r="B12" s="8"/>
      <c r="C12" s="8"/>
      <c r="D12" s="8"/>
      <c r="E12" s="8"/>
      <c r="G12" s="32"/>
      <c r="H12" s="3"/>
      <c r="I12" s="3"/>
      <c r="J12" s="3"/>
      <c r="K12" s="3"/>
      <c r="L12" s="3"/>
      <c r="M12" s="3"/>
      <c r="N12" s="3"/>
      <c r="O12" s="3"/>
      <c r="P12" s="3"/>
      <c r="Q12" s="8"/>
      <c r="R12" s="8"/>
      <c r="S12" s="8"/>
      <c r="T12" s="8"/>
      <c r="U12" s="8"/>
      <c r="V12" s="8"/>
      <c r="W12" s="8"/>
      <c r="X12" s="8"/>
      <c r="Y12" s="3"/>
      <c r="AA12" s="8"/>
      <c r="AB12" s="8"/>
      <c r="AC12" s="8"/>
      <c r="AE12" s="15"/>
      <c r="AF12" s="15"/>
      <c r="AG12" s="15"/>
      <c r="AH12" s="15"/>
      <c r="AI12" s="15"/>
      <c r="AJ12" s="15"/>
      <c r="AK12" s="15"/>
      <c r="AN12" s="14"/>
      <c r="AO12" s="14"/>
      <c r="AP12" s="14"/>
      <c r="AQ12" s="14"/>
      <c r="AR12" s="14"/>
      <c r="AS12" s="14"/>
      <c r="AT12" s="14"/>
      <c r="AU12" s="14"/>
    </row>
    <row r="13" spans="1:47" s="1" customFormat="1">
      <c r="A13" s="24" t="s">
        <v>231</v>
      </c>
      <c r="B13" s="8"/>
      <c r="C13" s="8"/>
      <c r="D13" s="8"/>
      <c r="E13" s="8"/>
      <c r="G13" s="32"/>
      <c r="H13" s="3"/>
      <c r="I13" s="3"/>
      <c r="J13" s="3"/>
      <c r="K13" s="3"/>
      <c r="L13" s="3"/>
      <c r="M13" s="3"/>
      <c r="N13" s="3"/>
      <c r="O13" s="3"/>
      <c r="P13" s="3"/>
      <c r="Q13" s="8"/>
      <c r="R13" s="8"/>
      <c r="S13" s="8"/>
      <c r="T13" s="8"/>
      <c r="U13" s="8"/>
      <c r="V13" s="8"/>
      <c r="W13" s="8"/>
      <c r="X13" s="8"/>
      <c r="Y13" s="3"/>
      <c r="AA13" s="8"/>
      <c r="AB13" s="8"/>
      <c r="AC13" s="8"/>
      <c r="AE13" s="15"/>
      <c r="AF13" s="15"/>
      <c r="AG13" s="15"/>
      <c r="AH13" s="15"/>
      <c r="AI13" s="15"/>
      <c r="AJ13" s="15"/>
      <c r="AK13" s="15"/>
      <c r="AN13" s="14"/>
      <c r="AO13" s="14"/>
      <c r="AP13" s="14"/>
      <c r="AQ13" s="14"/>
      <c r="AR13" s="14"/>
      <c r="AS13" s="14"/>
      <c r="AT13" s="14"/>
      <c r="AU13" s="14"/>
    </row>
    <row r="14" spans="1:47">
      <c r="A14" s="24" t="s">
        <v>32</v>
      </c>
      <c r="B14" s="8">
        <v>390.26688710379995</v>
      </c>
      <c r="C14" s="8">
        <v>3111.97</v>
      </c>
      <c r="D14" s="8">
        <v>-1536.1699999999998</v>
      </c>
      <c r="E14" s="8">
        <v>3137.8699999999994</v>
      </c>
      <c r="F14" s="39" t="s">
        <v>30</v>
      </c>
      <c r="G14" s="32" t="s">
        <v>190</v>
      </c>
      <c r="H14" s="8">
        <v>2.6372969867537999E-2</v>
      </c>
      <c r="I14" s="8">
        <v>0.103550688857065</v>
      </c>
      <c r="J14" s="8">
        <v>0.18271921509004876</v>
      </c>
      <c r="K14" s="8">
        <v>0.13852862160122098</v>
      </c>
      <c r="L14" s="8">
        <v>1.8185798048281001</v>
      </c>
      <c r="M14" s="8">
        <v>1.6851224393225399</v>
      </c>
      <c r="N14" s="8">
        <v>0.63246078463652977</v>
      </c>
      <c r="O14" s="8"/>
      <c r="P14" s="8"/>
      <c r="Q14" s="8">
        <f t="shared" si="0"/>
        <v>3.5037022441506398</v>
      </c>
      <c r="R14" s="8">
        <f t="shared" si="1"/>
        <v>4.1361630287871698</v>
      </c>
      <c r="S14" s="8">
        <f t="shared" si="2"/>
        <v>3.6422308657518609</v>
      </c>
      <c r="T14" s="8">
        <f t="shared" si="3"/>
        <v>4.2746916503883909</v>
      </c>
      <c r="U14" s="8">
        <f t="shared" si="4"/>
        <v>3.954873739566513</v>
      </c>
      <c r="V14" s="8">
        <f t="shared" si="5"/>
        <v>4.587334524203043</v>
      </c>
      <c r="W14" s="8">
        <f t="shared" si="6"/>
        <v>3.6422308657518609</v>
      </c>
      <c r="X14" s="8">
        <f t="shared" si="7"/>
        <v>0.31264287381465178</v>
      </c>
      <c r="AA14" s="8">
        <f t="shared" si="8"/>
        <v>1.0791974294516031</v>
      </c>
      <c r="AB14" s="8">
        <f t="shared" si="9"/>
        <v>11.649812520310739</v>
      </c>
      <c r="AE14" s="15">
        <f t="shared" si="10"/>
        <v>5.4265370097814811E-5</v>
      </c>
      <c r="AF14" s="15">
        <f t="shared" si="11"/>
        <v>2.2032061458950001E-4</v>
      </c>
      <c r="AG14" s="15">
        <f t="shared" si="12"/>
        <v>2.6404510851163118E-4</v>
      </c>
      <c r="AH14" s="15">
        <f t="shared" si="13"/>
        <v>9.8247249362568077E-4</v>
      </c>
      <c r="AI14" s="15">
        <f t="shared" si="14"/>
        <v>1.811334466960259E-3</v>
      </c>
      <c r="AJ14" s="15">
        <f t="shared" si="15"/>
        <v>2.8658544886437753E-3</v>
      </c>
      <c r="AK14" s="15">
        <f t="shared" si="16"/>
        <v>4.3319231824419848E-3</v>
      </c>
      <c r="AN14" s="14">
        <f t="shared" si="17"/>
        <v>0.57490836407052248</v>
      </c>
      <c r="AO14" s="14">
        <f t="shared" si="18"/>
        <v>2.2573171481330951</v>
      </c>
      <c r="AP14" s="14">
        <f t="shared" si="19"/>
        <v>3.9831238407840455</v>
      </c>
      <c r="AQ14" s="14">
        <f t="shared" si="20"/>
        <v>3.0198064010883869</v>
      </c>
      <c r="AR14" s="14">
        <f t="shared" si="21"/>
        <v>39.643496571552994</v>
      </c>
      <c r="AS14" s="14">
        <f t="shared" si="22"/>
        <v>36.734239250085999</v>
      </c>
      <c r="AT14" s="14">
        <f t="shared" si="23"/>
        <v>13.787108424284952</v>
      </c>
      <c r="AU14" s="14">
        <f t="shared" si="24"/>
        <v>100</v>
      </c>
    </row>
    <row r="15" spans="1:47">
      <c r="A15" s="24" t="s">
        <v>33</v>
      </c>
      <c r="B15" s="8">
        <v>390.26688710379995</v>
      </c>
      <c r="C15" s="8">
        <v>3111.97</v>
      </c>
      <c r="D15" s="8">
        <v>-1536.1699999999998</v>
      </c>
      <c r="E15" s="8">
        <v>3137.8699999999994</v>
      </c>
      <c r="F15" s="39" t="s">
        <v>30</v>
      </c>
      <c r="G15" s="32" t="s">
        <v>190</v>
      </c>
      <c r="H15" s="8">
        <v>2.6995083501483198E-2</v>
      </c>
      <c r="I15" s="8">
        <v>7.1695210096912598E-2</v>
      </c>
      <c r="J15" s="8">
        <v>0.37885737874370307</v>
      </c>
      <c r="K15" s="8">
        <v>0.52437554798845998</v>
      </c>
      <c r="L15" s="8">
        <v>2.837498631047584</v>
      </c>
      <c r="M15" s="8">
        <v>1.8773129707077001</v>
      </c>
      <c r="N15" s="8">
        <v>0.58693557305384081</v>
      </c>
      <c r="O15" s="8"/>
      <c r="P15" s="8"/>
      <c r="Q15" s="8">
        <f t="shared" si="0"/>
        <v>4.7148116017552839</v>
      </c>
      <c r="R15" s="8">
        <f t="shared" si="1"/>
        <v>5.3017471748091243</v>
      </c>
      <c r="S15" s="8">
        <f t="shared" si="2"/>
        <v>5.2391871497437439</v>
      </c>
      <c r="T15" s="8">
        <f t="shared" si="3"/>
        <v>5.8261227227975851</v>
      </c>
      <c r="U15" s="8">
        <f t="shared" si="4"/>
        <v>5.7167348220858427</v>
      </c>
      <c r="V15" s="8">
        <f t="shared" si="5"/>
        <v>6.3036703951396831</v>
      </c>
      <c r="W15" s="8">
        <f t="shared" si="6"/>
        <v>5.2391871497437439</v>
      </c>
      <c r="X15" s="8">
        <f t="shared" si="7"/>
        <v>0.47754767234209883</v>
      </c>
      <c r="AA15" s="8">
        <f t="shared" si="8"/>
        <v>1.511468079815119</v>
      </c>
      <c r="AB15" s="8">
        <f t="shared" si="9"/>
        <v>10.971024367155891</v>
      </c>
      <c r="AE15" s="15">
        <f t="shared" si="10"/>
        <v>5.5545439303463369E-5</v>
      </c>
      <c r="AF15" s="15">
        <f t="shared" si="11"/>
        <v>1.52543000206197E-4</v>
      </c>
      <c r="AG15" s="15">
        <f t="shared" si="12"/>
        <v>5.4748176119032231E-4</v>
      </c>
      <c r="AH15" s="15">
        <f t="shared" si="13"/>
        <v>3.7189755176486525E-3</v>
      </c>
      <c r="AI15" s="15">
        <f t="shared" si="14"/>
        <v>2.8261938556250837E-3</v>
      </c>
      <c r="AJ15" s="15">
        <f t="shared" si="15"/>
        <v>3.192709133856633E-3</v>
      </c>
      <c r="AK15" s="15">
        <f t="shared" si="16"/>
        <v>4.0201066647523346E-3</v>
      </c>
      <c r="AN15" s="14">
        <f t="shared" si="17"/>
        <v>0.42824389299125171</v>
      </c>
      <c r="AO15" s="14">
        <f t="shared" si="18"/>
        <v>1.1373565812100794</v>
      </c>
      <c r="AP15" s="14">
        <f t="shared" si="19"/>
        <v>6.0101076832286999</v>
      </c>
      <c r="AQ15" s="14">
        <f t="shared" si="20"/>
        <v>8.3185749748712912</v>
      </c>
      <c r="AR15" s="14">
        <f t="shared" si="21"/>
        <v>45.013435874365825</v>
      </c>
      <c r="AS15" s="14">
        <f t="shared" si="22"/>
        <v>29.781267944389416</v>
      </c>
      <c r="AT15" s="14">
        <f t="shared" si="23"/>
        <v>9.3110130489434475</v>
      </c>
      <c r="AU15" s="14">
        <f t="shared" si="24"/>
        <v>100.00000000000001</v>
      </c>
    </row>
    <row r="16" spans="1:47">
      <c r="A16" s="24" t="s">
        <v>28</v>
      </c>
      <c r="B16" s="8">
        <v>404.52502152</v>
      </c>
      <c r="C16" s="8">
        <v>477.91072357499996</v>
      </c>
      <c r="D16" s="20">
        <v>-1623.8099999999997</v>
      </c>
      <c r="E16" s="39">
        <v>3225.5099999999993</v>
      </c>
      <c r="F16" s="8" t="s">
        <v>25</v>
      </c>
      <c r="G16" s="32" t="s">
        <v>190</v>
      </c>
      <c r="H16" s="8">
        <v>2.723499690783349E-2</v>
      </c>
      <c r="I16" s="8">
        <v>3.1390103075903564E-2</v>
      </c>
      <c r="J16" s="8">
        <v>0.27720071534699192</v>
      </c>
      <c r="K16" s="8">
        <v>0.27111497217050168</v>
      </c>
      <c r="L16" s="8">
        <v>2.671945752668722</v>
      </c>
      <c r="M16" s="8">
        <v>1.415307814385931</v>
      </c>
      <c r="N16" s="8">
        <v>0.85669578502860366</v>
      </c>
      <c r="O16" s="8"/>
      <c r="P16" s="8"/>
      <c r="Q16" s="8">
        <f>L16+M16</f>
        <v>4.0872535670546526</v>
      </c>
      <c r="R16" s="8">
        <f>L16+M16+N16</f>
        <v>4.9439493520832567</v>
      </c>
      <c r="S16" s="8">
        <f t="shared" si="2"/>
        <v>4.3583685392251548</v>
      </c>
      <c r="T16" s="8">
        <f>K16+L16+M16+N16</f>
        <v>5.215064324253758</v>
      </c>
      <c r="U16" s="8">
        <f>H16+I16+J16+K16+L16+M16</f>
        <v>4.6941943545558837</v>
      </c>
      <c r="V16" s="8">
        <f>H16+I16+J16+K16+L16+M16+N16</f>
        <v>5.550890139584487</v>
      </c>
      <c r="W16" s="8">
        <f>K16+L16+M16</f>
        <v>4.3583685392251548</v>
      </c>
      <c r="X16" s="8">
        <f>H16+I16+J16</f>
        <v>0.33582581533072897</v>
      </c>
      <c r="AA16" s="8">
        <f>L16/M16</f>
        <v>1.8878901999336568</v>
      </c>
      <c r="AB16" s="8">
        <f>W16/X16</f>
        <v>12.978062853604429</v>
      </c>
      <c r="AE16" s="15">
        <f>H16/486</f>
        <v>5.6039088287723232E-5</v>
      </c>
      <c r="AF16" s="15">
        <f>I16/470</f>
        <v>6.6787453352986305E-5</v>
      </c>
      <c r="AG16" s="15">
        <f>J16/692</f>
        <v>4.0057906842050855E-4</v>
      </c>
      <c r="AH16" s="15">
        <f>K16/141</f>
        <v>1.9228012210673877E-3</v>
      </c>
      <c r="AI16" s="15">
        <f>L16/1004</f>
        <v>2.6613005504668545E-3</v>
      </c>
      <c r="AJ16" s="15">
        <f>M16/588</f>
        <v>2.4069860788876376E-3</v>
      </c>
      <c r="AK16" s="15">
        <f>N16/146</f>
        <v>5.8677793495109836E-3</v>
      </c>
      <c r="AN16" s="14">
        <f>100*H16/V16</f>
        <v>0.49064197314256652</v>
      </c>
      <c r="AO16" s="14">
        <f>100*I16/V16</f>
        <v>0.56549674532476479</v>
      </c>
      <c r="AP16" s="14">
        <f>100*J16/V16</f>
        <v>4.9938065495157113</v>
      </c>
      <c r="AQ16" s="14">
        <f>100*K16/V16</f>
        <v>4.8841711032457225</v>
      </c>
      <c r="AR16" s="14">
        <f>100*L16/V16</f>
        <v>48.135446486583341</v>
      </c>
      <c r="AS16" s="14">
        <f>100*M16/V16</f>
        <v>25.496952358921558</v>
      </c>
      <c r="AT16" s="14">
        <f>100*N16/V16</f>
        <v>15.433484783266342</v>
      </c>
      <c r="AU16" s="14">
        <f>AT16+AS16+AR16+AQ16+AP16+AO16+AN16</f>
        <v>100.00000000000001</v>
      </c>
    </row>
    <row r="17" spans="1:47">
      <c r="A17" s="24" t="s">
        <v>51</v>
      </c>
      <c r="B17" s="8">
        <v>411.65579113400003</v>
      </c>
      <c r="C17" s="8">
        <v>3133.3599999999997</v>
      </c>
      <c r="D17" s="8">
        <v>-1557.5599999999997</v>
      </c>
      <c r="E17" s="8">
        <v>3159.2599999999993</v>
      </c>
      <c r="F17" s="39" t="s">
        <v>30</v>
      </c>
      <c r="G17" s="32" t="s">
        <v>189</v>
      </c>
      <c r="H17" s="8">
        <v>3.4814092744743071E-2</v>
      </c>
      <c r="I17" s="8">
        <v>5.7514633933560509E-2</v>
      </c>
      <c r="J17" s="8">
        <v>0.29379346175480892</v>
      </c>
      <c r="K17" s="8">
        <v>0.10026505440812</v>
      </c>
      <c r="L17" s="8">
        <v>1.32338840577703</v>
      </c>
      <c r="M17" s="8">
        <v>1.4699756683305447</v>
      </c>
      <c r="N17" s="8">
        <v>0.93843339896666222</v>
      </c>
      <c r="O17" s="8"/>
      <c r="P17" s="8"/>
      <c r="Q17" s="8">
        <f t="shared" si="0"/>
        <v>2.7933640741075747</v>
      </c>
      <c r="R17" s="8">
        <f t="shared" si="1"/>
        <v>3.7317974730742369</v>
      </c>
      <c r="S17" s="8">
        <f t="shared" si="2"/>
        <v>2.8936291285156948</v>
      </c>
      <c r="T17" s="8">
        <f t="shared" si="3"/>
        <v>3.832062527482357</v>
      </c>
      <c r="U17" s="8">
        <f t="shared" si="4"/>
        <v>3.2797513169488073</v>
      </c>
      <c r="V17" s="8">
        <f t="shared" si="5"/>
        <v>4.21818471591547</v>
      </c>
      <c r="W17" s="8">
        <f t="shared" si="6"/>
        <v>2.8936291285156948</v>
      </c>
      <c r="X17" s="8">
        <f t="shared" si="7"/>
        <v>0.38612218843311252</v>
      </c>
      <c r="AA17" s="8">
        <f t="shared" si="8"/>
        <v>0.90027912317760039</v>
      </c>
      <c r="AB17" s="8">
        <f t="shared" si="9"/>
        <v>7.4940762670440382</v>
      </c>
      <c r="AE17" s="15">
        <f t="shared" si="10"/>
        <v>7.1633935688771754E-5</v>
      </c>
      <c r="AF17" s="15">
        <f t="shared" si="11"/>
        <v>1.2237156156076704E-4</v>
      </c>
      <c r="AG17" s="15">
        <f t="shared" si="12"/>
        <v>4.2455702565723832E-4</v>
      </c>
      <c r="AH17" s="15">
        <f t="shared" si="13"/>
        <v>7.1109967665333338E-4</v>
      </c>
      <c r="AI17" s="15">
        <f t="shared" si="14"/>
        <v>1.3181159420089939E-3</v>
      </c>
      <c r="AJ17" s="15">
        <f t="shared" si="15"/>
        <v>2.4999586196097698E-3</v>
      </c>
      <c r="AK17" s="15">
        <f t="shared" si="16"/>
        <v>6.4276260203196042E-3</v>
      </c>
      <c r="AN17" s="14">
        <f t="shared" si="17"/>
        <v>0.82533352826838902</v>
      </c>
      <c r="AO17" s="14">
        <f t="shared" si="18"/>
        <v>1.3634925402046587</v>
      </c>
      <c r="AP17" s="14">
        <f t="shared" si="19"/>
        <v>6.964926420749384</v>
      </c>
      <c r="AQ17" s="14">
        <f t="shared" si="20"/>
        <v>2.3769716397153924</v>
      </c>
      <c r="AR17" s="14">
        <f t="shared" si="21"/>
        <v>31.373410481143804</v>
      </c>
      <c r="AS17" s="14">
        <f t="shared" si="22"/>
        <v>34.848537163017923</v>
      </c>
      <c r="AT17" s="14">
        <f t="shared" si="23"/>
        <v>22.247328226900432</v>
      </c>
      <c r="AU17" s="14">
        <f t="shared" si="24"/>
        <v>99.999999999999986</v>
      </c>
    </row>
    <row r="18" spans="1:47">
      <c r="A18" s="24" t="s">
        <v>31</v>
      </c>
      <c r="B18" s="8">
        <v>412.04</v>
      </c>
      <c r="C18" s="12">
        <v>3133.74</v>
      </c>
      <c r="D18" s="8">
        <v>-1557.9399999999998</v>
      </c>
      <c r="E18" s="8">
        <v>3159.6399999999994</v>
      </c>
      <c r="F18" s="8" t="s">
        <v>25</v>
      </c>
      <c r="G18" s="32" t="s">
        <v>190</v>
      </c>
      <c r="H18" s="8">
        <v>5.6760367927739454E-2</v>
      </c>
      <c r="I18" s="8">
        <v>5.9903730617039665E-2</v>
      </c>
      <c r="J18" s="8">
        <v>0.2925553729278822</v>
      </c>
      <c r="K18" s="8">
        <v>0.34016398181176699</v>
      </c>
      <c r="L18" s="8">
        <v>2.0907663538384083</v>
      </c>
      <c r="M18" s="8">
        <v>1.2329288636422</v>
      </c>
      <c r="N18" s="8">
        <v>0.93529568070437374</v>
      </c>
      <c r="O18" s="8"/>
      <c r="P18" s="8"/>
      <c r="Q18" s="8">
        <f>L18+M18</f>
        <v>3.3236952174806085</v>
      </c>
      <c r="R18" s="8">
        <f>L18+M18+N18</f>
        <v>4.2589908981849822</v>
      </c>
      <c r="S18" s="8">
        <f t="shared" si="2"/>
        <v>3.663859199292375</v>
      </c>
      <c r="T18" s="8">
        <f>K18+L18+M18+N18</f>
        <v>4.5991548799967488</v>
      </c>
      <c r="U18" s="8">
        <f>H18+I18+J18+K18+L18+M18</f>
        <v>4.0730786707650362</v>
      </c>
      <c r="V18" s="8">
        <f>H18+I18+J18+K18+L18+M18+N18</f>
        <v>5.0083743514694099</v>
      </c>
      <c r="W18" s="8">
        <f>K18+L18+M18</f>
        <v>3.663859199292375</v>
      </c>
      <c r="X18" s="8">
        <f>H18+I18+J18</f>
        <v>0.4092194714726613</v>
      </c>
      <c r="AA18" s="8">
        <f>L18/M18</f>
        <v>1.6957720883117839</v>
      </c>
      <c r="AB18" s="8">
        <f>W18/X18</f>
        <v>8.953286572868139</v>
      </c>
      <c r="AE18" s="15">
        <f>H18/486</f>
        <v>1.1679088050975197E-4</v>
      </c>
      <c r="AF18" s="15">
        <f>I18/470</f>
        <v>1.2745474599370143E-4</v>
      </c>
      <c r="AG18" s="15">
        <f>J18/692</f>
        <v>4.2276787995358699E-4</v>
      </c>
      <c r="AH18" s="15">
        <f>K18/141</f>
        <v>2.4125105093033119E-3</v>
      </c>
      <c r="AI18" s="15">
        <f>L18/1004</f>
        <v>2.082436607408773E-3</v>
      </c>
      <c r="AJ18" s="15">
        <f>M18/588</f>
        <v>2.0968177953098639E-3</v>
      </c>
      <c r="AK18" s="15">
        <f>N18/146</f>
        <v>6.4061347993450259E-3</v>
      </c>
      <c r="AN18" s="14">
        <f>100*H18/V18</f>
        <v>1.1333092126207878</v>
      </c>
      <c r="AO18" s="14">
        <f>100*I18/V18</f>
        <v>1.1960713479707137</v>
      </c>
      <c r="AP18" s="14">
        <f>100*J18/V18</f>
        <v>5.8413239985155903</v>
      </c>
      <c r="AQ18" s="14">
        <f>100*K18/V18</f>
        <v>6.7919040778564419</v>
      </c>
      <c r="AR18" s="14">
        <f>100*L18/V18</f>
        <v>41.745408931442938</v>
      </c>
      <c r="AS18" s="14">
        <f>100*M18/V18</f>
        <v>24.617346410626638</v>
      </c>
      <c r="AT18" s="14">
        <f>100*N18/V18</f>
        <v>18.674636020966901</v>
      </c>
      <c r="AU18" s="14">
        <f>AT18+AS18+AR18+AQ18+AP18+AO18+AN18</f>
        <v>100.00000000000001</v>
      </c>
    </row>
    <row r="19" spans="1:47">
      <c r="A19" s="24" t="s">
        <v>18</v>
      </c>
      <c r="B19" s="8">
        <v>412.03965516900001</v>
      </c>
      <c r="C19" s="8">
        <v>3133.74</v>
      </c>
      <c r="D19" s="8">
        <v>-1557.9399999999998</v>
      </c>
      <c r="E19" s="8">
        <v>3159.6399999999994</v>
      </c>
      <c r="F19" s="39" t="s">
        <v>30</v>
      </c>
      <c r="G19" s="32" t="s">
        <v>191</v>
      </c>
      <c r="H19" s="8">
        <v>4.2841505977621999E-2</v>
      </c>
      <c r="I19" s="8">
        <v>5.3256420680943391E-2</v>
      </c>
      <c r="J19" s="8">
        <v>0.11658723249167437</v>
      </c>
      <c r="K19" s="8">
        <v>0.3420538273464836</v>
      </c>
      <c r="L19" s="8">
        <v>1.398232064613681</v>
      </c>
      <c r="M19" s="8">
        <v>0.60309627754113948</v>
      </c>
      <c r="N19" s="8">
        <v>0.25408474619554622</v>
      </c>
      <c r="O19" s="8"/>
      <c r="P19" s="8"/>
      <c r="Q19" s="8">
        <f t="shared" si="0"/>
        <v>2.0013283421548205</v>
      </c>
      <c r="R19" s="8">
        <f t="shared" si="1"/>
        <v>2.2554130883503669</v>
      </c>
      <c r="S19" s="8">
        <f t="shared" si="2"/>
        <v>2.3433821695013037</v>
      </c>
      <c r="T19" s="8">
        <f t="shared" si="3"/>
        <v>2.5974669156968497</v>
      </c>
      <c r="U19" s="8">
        <f t="shared" si="4"/>
        <v>2.5560673286515438</v>
      </c>
      <c r="V19" s="8">
        <f t="shared" si="5"/>
        <v>2.8101520748470898</v>
      </c>
      <c r="W19" s="8">
        <f t="shared" si="6"/>
        <v>2.3433821695013037</v>
      </c>
      <c r="X19" s="8">
        <f t="shared" si="7"/>
        <v>0.21268515915023978</v>
      </c>
      <c r="AA19" s="8">
        <f t="shared" si="8"/>
        <v>2.3184226410986302</v>
      </c>
      <c r="AB19" s="8">
        <f t="shared" si="9"/>
        <v>11.018080334631858</v>
      </c>
      <c r="AE19" s="15">
        <f t="shared" si="10"/>
        <v>8.8151246867534976E-5</v>
      </c>
      <c r="AF19" s="15">
        <f t="shared" si="11"/>
        <v>1.1331153336370935E-4</v>
      </c>
      <c r="AG19" s="15">
        <f t="shared" si="12"/>
        <v>1.6847865967004966E-4</v>
      </c>
      <c r="AH19" s="15">
        <f t="shared" si="13"/>
        <v>2.4259136691239971E-3</v>
      </c>
      <c r="AI19" s="15">
        <f t="shared" si="14"/>
        <v>1.3926614189379292E-3</v>
      </c>
      <c r="AJ19" s="15">
        <f t="shared" si="15"/>
        <v>1.0256739413964956E-3</v>
      </c>
      <c r="AK19" s="15">
        <f t="shared" si="16"/>
        <v>1.7403064807914124E-3</v>
      </c>
      <c r="AN19" s="14">
        <f t="shared" si="17"/>
        <v>1.5245262475680486</v>
      </c>
      <c r="AO19" s="14">
        <f t="shared" si="18"/>
        <v>1.8951437239865838</v>
      </c>
      <c r="AP19" s="14">
        <f t="shared" si="19"/>
        <v>4.1487873035489828</v>
      </c>
      <c r="AQ19" s="14">
        <f t="shared" si="20"/>
        <v>12.172075326745295</v>
      </c>
      <c r="AR19" s="14">
        <f t="shared" si="21"/>
        <v>49.756455429187533</v>
      </c>
      <c r="AS19" s="14">
        <f t="shared" si="22"/>
        <v>21.461339510387745</v>
      </c>
      <c r="AT19" s="14">
        <f t="shared" si="23"/>
        <v>9.0416724585758175</v>
      </c>
      <c r="AU19" s="14">
        <f t="shared" si="24"/>
        <v>100</v>
      </c>
    </row>
    <row r="20" spans="1:47">
      <c r="A20" s="24" t="s">
        <v>21</v>
      </c>
      <c r="B20" s="8">
        <v>422.82162818408</v>
      </c>
      <c r="C20" s="8">
        <v>3144.52</v>
      </c>
      <c r="D20" s="8">
        <v>-1568.72</v>
      </c>
      <c r="E20" s="8">
        <v>3170.4199999999996</v>
      </c>
      <c r="F20" s="39" t="s">
        <v>30</v>
      </c>
      <c r="G20" s="32" t="s">
        <v>191</v>
      </c>
      <c r="H20" s="8">
        <v>5.1061934255210002E-2</v>
      </c>
      <c r="I20" s="8">
        <v>3.8090147045466385E-2</v>
      </c>
      <c r="J20" s="8">
        <v>4.8909717608505349E-2</v>
      </c>
      <c r="K20" s="8">
        <v>0.28106601075950471</v>
      </c>
      <c r="L20" s="8">
        <v>2.8655698429407774</v>
      </c>
      <c r="M20" s="8">
        <v>2.508396244810553</v>
      </c>
      <c r="N20" s="8">
        <v>5.4823933067307908E-2</v>
      </c>
      <c r="O20" s="8"/>
      <c r="P20" s="8"/>
      <c r="Q20" s="8">
        <f t="shared" si="0"/>
        <v>5.3739660877513309</v>
      </c>
      <c r="R20" s="8">
        <f t="shared" si="1"/>
        <v>5.4287900208186386</v>
      </c>
      <c r="S20" s="8">
        <f t="shared" si="2"/>
        <v>5.6550320985108353</v>
      </c>
      <c r="T20" s="8">
        <f t="shared" si="3"/>
        <v>5.709856031578143</v>
      </c>
      <c r="U20" s="8">
        <f t="shared" si="4"/>
        <v>5.7930938974200163</v>
      </c>
      <c r="V20" s="8">
        <f t="shared" si="5"/>
        <v>5.8479178304873241</v>
      </c>
      <c r="W20" s="8">
        <f t="shared" si="6"/>
        <v>5.6550320985108353</v>
      </c>
      <c r="X20" s="8">
        <f t="shared" si="7"/>
        <v>0.13806179890918174</v>
      </c>
      <c r="AA20" s="8">
        <f t="shared" si="8"/>
        <v>1.1423912186398604</v>
      </c>
      <c r="AB20" s="8">
        <f t="shared" si="9"/>
        <v>40.960150767199295</v>
      </c>
      <c r="AE20" s="15">
        <f t="shared" si="10"/>
        <v>1.0506570834405351E-4</v>
      </c>
      <c r="AF20" s="15">
        <f t="shared" si="11"/>
        <v>8.10428660541838E-5</v>
      </c>
      <c r="AG20" s="15">
        <f t="shared" si="12"/>
        <v>7.0678782671250499E-5</v>
      </c>
      <c r="AH20" s="15">
        <f t="shared" si="13"/>
        <v>1.9933759628333668E-3</v>
      </c>
      <c r="AI20" s="15">
        <f t="shared" si="14"/>
        <v>2.8541532300206947E-3</v>
      </c>
      <c r="AJ20" s="15">
        <f t="shared" si="15"/>
        <v>4.2659800081812126E-3</v>
      </c>
      <c r="AK20" s="15">
        <f t="shared" si="16"/>
        <v>3.7550639087197195E-4</v>
      </c>
      <c r="AN20" s="14">
        <f t="shared" si="17"/>
        <v>0.87316435926998759</v>
      </c>
      <c r="AO20" s="14">
        <f t="shared" si="18"/>
        <v>0.65134545576014402</v>
      </c>
      <c r="AP20" s="14">
        <f t="shared" si="19"/>
        <v>0.83636123191610512</v>
      </c>
      <c r="AQ20" s="14">
        <f t="shared" si="20"/>
        <v>4.8062578665898021</v>
      </c>
      <c r="AR20" s="14">
        <f t="shared" si="21"/>
        <v>49.001540821957498</v>
      </c>
      <c r="AS20" s="14">
        <f t="shared" si="22"/>
        <v>42.893835336286195</v>
      </c>
      <c r="AT20" s="14">
        <f t="shared" si="23"/>
        <v>0.93749492822027691</v>
      </c>
      <c r="AU20" s="14">
        <f t="shared" si="24"/>
        <v>100.00000000000001</v>
      </c>
    </row>
    <row r="21" spans="1:47">
      <c r="A21" s="24" t="s">
        <v>46</v>
      </c>
      <c r="B21" s="8">
        <v>445.53946950344999</v>
      </c>
      <c r="C21" s="8">
        <v>3167.24</v>
      </c>
      <c r="D21" s="8">
        <v>-1591.4399999999998</v>
      </c>
      <c r="E21" s="8">
        <v>3193.1399999999994</v>
      </c>
      <c r="F21" s="39" t="s">
        <v>25</v>
      </c>
      <c r="G21" s="32" t="s">
        <v>190</v>
      </c>
      <c r="H21" s="8">
        <v>0.17986260171876414</v>
      </c>
      <c r="I21" s="8">
        <v>0.12930107624200787</v>
      </c>
      <c r="J21" s="8">
        <v>0.28324501990210421</v>
      </c>
      <c r="K21" s="8">
        <v>0.26107150024223202</v>
      </c>
      <c r="L21" s="8">
        <v>2.4621866065586713</v>
      </c>
      <c r="M21" s="8">
        <v>1.3414095661234215</v>
      </c>
      <c r="N21" s="8">
        <v>0.40894328038567213</v>
      </c>
      <c r="O21" s="8"/>
      <c r="P21" s="8"/>
      <c r="Q21" s="8">
        <f>L21+M21</f>
        <v>3.8035961726820928</v>
      </c>
      <c r="R21" s="8">
        <f>L21+M21+N21</f>
        <v>4.2125394530677651</v>
      </c>
      <c r="S21" s="8">
        <f t="shared" si="2"/>
        <v>4.0646676729243243</v>
      </c>
      <c r="T21" s="8">
        <f>K21+L21+M21+N21</f>
        <v>4.4736109533099961</v>
      </c>
      <c r="U21" s="8">
        <f>H21+I21+J21+K21+L21+M21</f>
        <v>4.6570763707872009</v>
      </c>
      <c r="V21" s="8">
        <f>H21+I21+J21+K21+L21+M21+N21</f>
        <v>5.0660196511728728</v>
      </c>
      <c r="W21" s="8">
        <f>K21+L21+M21</f>
        <v>4.0646676729243243</v>
      </c>
      <c r="X21" s="8">
        <f>H21+I21+J21</f>
        <v>0.5924086978628762</v>
      </c>
      <c r="AA21" s="8">
        <f>L21/M21</f>
        <v>1.8355218784328606</v>
      </c>
      <c r="AB21" s="8">
        <f>W21/X21</f>
        <v>6.8612558991582624</v>
      </c>
      <c r="AE21" s="15">
        <f t="shared" si="10"/>
        <v>3.7008765785753939E-4</v>
      </c>
      <c r="AF21" s="15">
        <f t="shared" si="11"/>
        <v>2.7510867285533588E-4</v>
      </c>
      <c r="AG21" s="15">
        <f t="shared" si="12"/>
        <v>4.0931361257529508E-4</v>
      </c>
      <c r="AH21" s="15">
        <f t="shared" si="13"/>
        <v>1.8515709237037733E-3</v>
      </c>
      <c r="AI21" s="15">
        <f t="shared" si="14"/>
        <v>2.4523770981660074E-3</v>
      </c>
      <c r="AJ21" s="15">
        <f t="shared" si="15"/>
        <v>2.2813087859241861E-3</v>
      </c>
      <c r="AK21" s="15">
        <f t="shared" si="16"/>
        <v>2.8009813725046037E-3</v>
      </c>
      <c r="AN21" s="14">
        <f t="shared" si="17"/>
        <v>3.550373154930869</v>
      </c>
      <c r="AO21" s="14">
        <f t="shared" si="18"/>
        <v>2.5523208582910333</v>
      </c>
      <c r="AP21" s="14">
        <f t="shared" si="19"/>
        <v>5.5910762177270277</v>
      </c>
      <c r="AQ21" s="14">
        <f t="shared" si="20"/>
        <v>5.1533850679357185</v>
      </c>
      <c r="AR21" s="14">
        <f t="shared" si="21"/>
        <v>48.601994782800176</v>
      </c>
      <c r="AS21" s="14">
        <f t="shared" si="22"/>
        <v>26.478570129763742</v>
      </c>
      <c r="AT21" s="14">
        <f t="shared" si="23"/>
        <v>8.0722797885514428</v>
      </c>
      <c r="AU21" s="14">
        <f t="shared" si="24"/>
        <v>100</v>
      </c>
    </row>
    <row r="22" spans="1:47">
      <c r="A22" s="24" t="s">
        <v>47</v>
      </c>
      <c r="B22" s="8">
        <v>445.53946950344999</v>
      </c>
      <c r="C22" s="8">
        <v>3167.24</v>
      </c>
      <c r="D22" s="8">
        <v>-1591.4399999999998</v>
      </c>
      <c r="E22" s="8">
        <v>3193.1399999999994</v>
      </c>
      <c r="F22" s="39" t="s">
        <v>30</v>
      </c>
      <c r="G22" s="32" t="s">
        <v>190</v>
      </c>
      <c r="H22" s="8">
        <v>4.5422679145921234E-2</v>
      </c>
      <c r="I22" s="8">
        <v>5.4622601478042848E-2</v>
      </c>
      <c r="J22" s="8">
        <v>0.21153783726372355</v>
      </c>
      <c r="K22" s="8">
        <v>0.28361540541404739</v>
      </c>
      <c r="L22" s="8">
        <v>2.6276230324653524</v>
      </c>
      <c r="M22" s="8">
        <v>1.98470047822856</v>
      </c>
      <c r="N22" s="8">
        <v>0.41961871971040793</v>
      </c>
      <c r="O22" s="8"/>
      <c r="P22" s="8"/>
      <c r="Q22" s="8">
        <f>L22+M22</f>
        <v>4.612323510693912</v>
      </c>
      <c r="R22" s="8">
        <f>L22+M22+N22</f>
        <v>5.0319422304043195</v>
      </c>
      <c r="S22" s="8">
        <f t="shared" si="2"/>
        <v>4.8959389161079603</v>
      </c>
      <c r="T22" s="8">
        <f>K22+L22+M22+N22</f>
        <v>5.3155576358183678</v>
      </c>
      <c r="U22" s="8">
        <f>H22+I22+J22+K22+L22+M22</f>
        <v>5.2075220339956481</v>
      </c>
      <c r="V22" s="8">
        <f>H22+I22+J22+K22+L22+M22+N22</f>
        <v>5.6271407537060556</v>
      </c>
      <c r="W22" s="8">
        <f>K22+L22+M22</f>
        <v>4.8959389161079603</v>
      </c>
      <c r="X22" s="8">
        <f>H22+I22+J22</f>
        <v>0.31158311788768767</v>
      </c>
      <c r="AA22" s="8">
        <f>L22/M22</f>
        <v>1.3239393355770397</v>
      </c>
      <c r="AB22" s="8">
        <f>W22/X22</f>
        <v>15.713107145531344</v>
      </c>
      <c r="AE22" s="15">
        <f t="shared" si="10"/>
        <v>9.3462302769385254E-5</v>
      </c>
      <c r="AF22" s="15">
        <f t="shared" si="11"/>
        <v>1.1621830101711245E-4</v>
      </c>
      <c r="AG22" s="15">
        <f t="shared" si="12"/>
        <v>3.0569051627705714E-4</v>
      </c>
      <c r="AH22" s="15">
        <f t="shared" si="13"/>
        <v>2.0114567759861516E-3</v>
      </c>
      <c r="AI22" s="15">
        <f t="shared" si="14"/>
        <v>2.6171544148061278E-3</v>
      </c>
      <c r="AJ22" s="15">
        <f t="shared" si="15"/>
        <v>3.3753409493682994E-3</v>
      </c>
      <c r="AK22" s="15">
        <f t="shared" si="16"/>
        <v>2.8741008199343007E-3</v>
      </c>
      <c r="AN22" s="14">
        <f t="shared" si="17"/>
        <v>0.80720709031501825</v>
      </c>
      <c r="AO22" s="14">
        <f t="shared" si="18"/>
        <v>0.97069904359630965</v>
      </c>
      <c r="AP22" s="14">
        <f t="shared" si="19"/>
        <v>3.7592419760320359</v>
      </c>
      <c r="AQ22" s="14">
        <f t="shared" si="20"/>
        <v>5.0401334856828885</v>
      </c>
      <c r="AR22" s="14">
        <f t="shared" si="21"/>
        <v>46.695527044259379</v>
      </c>
      <c r="AS22" s="14">
        <f t="shared" si="22"/>
        <v>35.270141002274187</v>
      </c>
      <c r="AT22" s="14">
        <f t="shared" si="23"/>
        <v>7.4570503578401786</v>
      </c>
      <c r="AU22" s="14">
        <f t="shared" si="24"/>
        <v>99.999999999999986</v>
      </c>
    </row>
    <row r="23" spans="1:47">
      <c r="A23" s="24" t="s">
        <v>53</v>
      </c>
      <c r="B23" s="8">
        <v>481.75704120569998</v>
      </c>
      <c r="C23" s="8">
        <v>3203.46</v>
      </c>
      <c r="D23" s="8">
        <v>-1627.66</v>
      </c>
      <c r="E23" s="8">
        <v>3229.3599999999997</v>
      </c>
      <c r="F23" s="39" t="s">
        <v>25</v>
      </c>
      <c r="G23" s="32" t="s">
        <v>189</v>
      </c>
      <c r="H23" s="8">
        <v>1.8335166850018333E-2</v>
      </c>
      <c r="I23" s="8">
        <v>3.5394969866455003E-2</v>
      </c>
      <c r="J23" s="8">
        <v>9.2837441094005838E-2</v>
      </c>
      <c r="K23" s="8">
        <v>0.10181016088186</v>
      </c>
      <c r="L23" s="8">
        <v>1.0582452271970728</v>
      </c>
      <c r="M23" s="8">
        <v>0.926409511053219</v>
      </c>
      <c r="N23" s="8">
        <v>0.28744448024209895</v>
      </c>
      <c r="O23" s="8"/>
      <c r="P23" s="8"/>
      <c r="Q23" s="8">
        <f t="shared" si="0"/>
        <v>1.9846547382502919</v>
      </c>
      <c r="R23" s="8">
        <f t="shared" si="1"/>
        <v>2.2720992184923907</v>
      </c>
      <c r="S23" s="8">
        <f t="shared" si="2"/>
        <v>2.0864648991321517</v>
      </c>
      <c r="T23" s="8">
        <f t="shared" si="3"/>
        <v>2.3739093793742505</v>
      </c>
      <c r="U23" s="8">
        <f t="shared" si="4"/>
        <v>2.2330324769426309</v>
      </c>
      <c r="V23" s="8">
        <f t="shared" si="5"/>
        <v>2.5204769571847296</v>
      </c>
      <c r="W23" s="8">
        <f t="shared" si="6"/>
        <v>2.0864648991321517</v>
      </c>
      <c r="X23" s="8">
        <f t="shared" si="7"/>
        <v>0.14656757781047919</v>
      </c>
      <c r="AA23" s="8">
        <f t="shared" si="8"/>
        <v>1.1423082498300046</v>
      </c>
      <c r="AB23" s="8">
        <f t="shared" si="9"/>
        <v>14.235514636327538</v>
      </c>
      <c r="AE23" s="15">
        <f t="shared" si="10"/>
        <v>3.7726680761354593E-5</v>
      </c>
      <c r="AF23" s="15">
        <f t="shared" si="11"/>
        <v>7.5308446524372346E-5</v>
      </c>
      <c r="AG23" s="15">
        <f t="shared" si="12"/>
        <v>1.3415815186995064E-4</v>
      </c>
      <c r="AH23" s="15">
        <f t="shared" si="13"/>
        <v>7.2205787859475176E-4</v>
      </c>
      <c r="AI23" s="15">
        <f t="shared" si="14"/>
        <v>1.0540291107540565E-3</v>
      </c>
      <c r="AJ23" s="15">
        <f t="shared" si="15"/>
        <v>1.5755263793422092E-3</v>
      </c>
      <c r="AK23" s="15">
        <f t="shared" si="16"/>
        <v>1.96879780987739E-3</v>
      </c>
      <c r="AN23" s="14">
        <f t="shared" si="17"/>
        <v>0.72744830289970075</v>
      </c>
      <c r="AO23" s="14">
        <f t="shared" si="18"/>
        <v>1.404296506879783</v>
      </c>
      <c r="AP23" s="14">
        <f t="shared" si="19"/>
        <v>3.6833283013902847</v>
      </c>
      <c r="AQ23" s="14">
        <f t="shared" si="20"/>
        <v>4.0393212321043324</v>
      </c>
      <c r="AR23" s="14">
        <f t="shared" si="21"/>
        <v>41.985911602186981</v>
      </c>
      <c r="AS23" s="14">
        <f t="shared" si="22"/>
        <v>36.755325551080652</v>
      </c>
      <c r="AT23" s="14">
        <f t="shared" si="23"/>
        <v>11.404368503458279</v>
      </c>
      <c r="AU23" s="14">
        <f t="shared" si="24"/>
        <v>100.00000000000001</v>
      </c>
    </row>
    <row r="24" spans="1:47">
      <c r="A24" s="24" t="s">
        <v>43</v>
      </c>
      <c r="B24" s="8">
        <v>481.75704120569998</v>
      </c>
      <c r="C24" s="8">
        <v>3203.46</v>
      </c>
      <c r="D24" s="8">
        <v>-1627.66</v>
      </c>
      <c r="E24" s="8">
        <v>3229.3599999999997</v>
      </c>
      <c r="F24" s="39" t="s">
        <v>30</v>
      </c>
      <c r="G24" s="32" t="s">
        <v>190</v>
      </c>
      <c r="H24" s="8">
        <v>3.1228222797671599E-2</v>
      </c>
      <c r="I24" s="8">
        <v>8.5619700481169E-2</v>
      </c>
      <c r="J24" s="8">
        <v>0.2429694529893397</v>
      </c>
      <c r="K24" s="8">
        <v>0.19250762677476854</v>
      </c>
      <c r="L24" s="8">
        <v>1.0530405069191318</v>
      </c>
      <c r="M24" s="8">
        <v>0.36302770527952455</v>
      </c>
      <c r="N24" s="8">
        <v>0.33667402842033406</v>
      </c>
      <c r="O24" s="8"/>
      <c r="P24" s="8"/>
      <c r="Q24" s="8">
        <f t="shared" si="0"/>
        <v>1.4160682121986563</v>
      </c>
      <c r="R24" s="8">
        <f t="shared" si="1"/>
        <v>1.7527422406189903</v>
      </c>
      <c r="S24" s="8">
        <f t="shared" si="2"/>
        <v>1.6085758389734248</v>
      </c>
      <c r="T24" s="8">
        <f t="shared" si="3"/>
        <v>1.9452498673937588</v>
      </c>
      <c r="U24" s="8">
        <f t="shared" si="4"/>
        <v>1.968393215241605</v>
      </c>
      <c r="V24" s="8">
        <f t="shared" si="5"/>
        <v>2.3050672436619393</v>
      </c>
      <c r="W24" s="8">
        <f t="shared" si="6"/>
        <v>1.6085758389734248</v>
      </c>
      <c r="X24" s="8">
        <f t="shared" si="7"/>
        <v>0.35981737626818028</v>
      </c>
      <c r="AA24" s="8">
        <f t="shared" si="8"/>
        <v>2.9007166439495582</v>
      </c>
      <c r="AB24" s="8">
        <f t="shared" si="9"/>
        <v>4.4705340683005694</v>
      </c>
      <c r="AE24" s="15">
        <f t="shared" si="10"/>
        <v>6.4255602464344852E-5</v>
      </c>
      <c r="AF24" s="15">
        <f t="shared" si="11"/>
        <v>1.8216957549184893E-4</v>
      </c>
      <c r="AG24" s="15">
        <f t="shared" si="12"/>
        <v>3.5111192628517295E-4</v>
      </c>
      <c r="AH24" s="15">
        <f t="shared" si="13"/>
        <v>1.36530231755155E-3</v>
      </c>
      <c r="AI24" s="15">
        <f t="shared" si="14"/>
        <v>1.0488451264134778E-3</v>
      </c>
      <c r="AJ24" s="15">
        <f t="shared" si="15"/>
        <v>6.1739405659783086E-4</v>
      </c>
      <c r="AK24" s="15">
        <f t="shared" si="16"/>
        <v>2.3059864960296855E-3</v>
      </c>
      <c r="AN24" s="14">
        <f t="shared" si="17"/>
        <v>1.354764069618245</v>
      </c>
      <c r="AO24" s="14">
        <f t="shared" si="18"/>
        <v>3.7144122678672695</v>
      </c>
      <c r="AP24" s="14">
        <f t="shared" si="19"/>
        <v>10.540666596925254</v>
      </c>
      <c r="AQ24" s="14">
        <f t="shared" si="20"/>
        <v>8.3514972200525381</v>
      </c>
      <c r="AR24" s="14">
        <f t="shared" si="21"/>
        <v>45.683721800940681</v>
      </c>
      <c r="AS24" s="14">
        <f t="shared" si="22"/>
        <v>15.749115618111057</v>
      </c>
      <c r="AT24" s="14">
        <f t="shared" si="23"/>
        <v>14.60582242648495</v>
      </c>
      <c r="AU24" s="14">
        <f t="shared" si="24"/>
        <v>99.999999999999986</v>
      </c>
    </row>
    <row r="25" spans="1:47">
      <c r="A25" s="24" t="s">
        <v>45</v>
      </c>
      <c r="B25" s="8">
        <v>499.13456607014996</v>
      </c>
      <c r="C25" s="8">
        <v>3220.83</v>
      </c>
      <c r="D25" s="8">
        <v>-1645.03</v>
      </c>
      <c r="E25" s="8">
        <v>3246.7299999999996</v>
      </c>
      <c r="F25" s="39" t="s">
        <v>222</v>
      </c>
      <c r="G25" s="32" t="s">
        <v>190</v>
      </c>
      <c r="H25" s="8">
        <v>3.0458295684989044E-2</v>
      </c>
      <c r="I25" s="8">
        <v>7.3603418275058424E-2</v>
      </c>
      <c r="J25" s="8">
        <v>0.31814300228396097</v>
      </c>
      <c r="K25" s="8">
        <v>0.41029402841685642</v>
      </c>
      <c r="L25" s="8">
        <v>4.803904437133161</v>
      </c>
      <c r="M25" s="8">
        <v>3.8781492318700796</v>
      </c>
      <c r="N25" s="8">
        <v>0.76089321109426789</v>
      </c>
      <c r="O25" s="8"/>
      <c r="P25" s="8"/>
      <c r="Q25" s="8">
        <f t="shared" si="0"/>
        <v>8.6820536690032402</v>
      </c>
      <c r="R25" s="8">
        <f t="shared" si="1"/>
        <v>9.4429468800975087</v>
      </c>
      <c r="S25" s="8">
        <f t="shared" si="2"/>
        <v>9.092347697420097</v>
      </c>
      <c r="T25" s="8">
        <f t="shared" si="3"/>
        <v>9.8532409085143655</v>
      </c>
      <c r="U25" s="8">
        <f t="shared" si="4"/>
        <v>9.5145524136641058</v>
      </c>
      <c r="V25" s="8">
        <f t="shared" si="5"/>
        <v>10.275445624758374</v>
      </c>
      <c r="W25" s="8">
        <f t="shared" si="6"/>
        <v>9.092347697420097</v>
      </c>
      <c r="X25" s="8">
        <f t="shared" si="7"/>
        <v>0.42220471624400846</v>
      </c>
      <c r="AA25" s="8">
        <f t="shared" si="8"/>
        <v>1.238710567828426</v>
      </c>
      <c r="AB25" s="8">
        <f t="shared" si="9"/>
        <v>21.535400595016746</v>
      </c>
      <c r="AE25" s="15">
        <f t="shared" si="10"/>
        <v>6.2671390298331371E-5</v>
      </c>
      <c r="AF25" s="15">
        <f t="shared" si="11"/>
        <v>1.5660301760650729E-4</v>
      </c>
      <c r="AG25" s="15">
        <f t="shared" si="12"/>
        <v>4.5974422295370085E-4</v>
      </c>
      <c r="AH25" s="15">
        <f t="shared" si="13"/>
        <v>2.9098867263606838E-3</v>
      </c>
      <c r="AI25" s="15">
        <f t="shared" si="14"/>
        <v>4.7847653756306384E-3</v>
      </c>
      <c r="AJ25" s="15">
        <f t="shared" si="15"/>
        <v>6.5954918909355096E-3</v>
      </c>
      <c r="AK25" s="15">
        <f t="shared" si="16"/>
        <v>5.2115973362621085E-3</v>
      </c>
      <c r="AN25" s="14">
        <f t="shared" si="17"/>
        <v>0.29641824595519928</v>
      </c>
      <c r="AO25" s="14">
        <f t="shared" si="18"/>
        <v>0.71630390508527653</v>
      </c>
      <c r="AP25" s="14">
        <f t="shared" si="19"/>
        <v>3.0961479813333357</v>
      </c>
      <c r="AQ25" s="14">
        <f t="shared" si="20"/>
        <v>3.9929560566041578</v>
      </c>
      <c r="AR25" s="14">
        <f t="shared" si="21"/>
        <v>46.751300260480178</v>
      </c>
      <c r="AS25" s="14">
        <f t="shared" si="22"/>
        <v>37.741907976485194</v>
      </c>
      <c r="AT25" s="14">
        <f t="shared" si="23"/>
        <v>7.40496557405665</v>
      </c>
      <c r="AU25" s="14">
        <f t="shared" si="24"/>
        <v>99.999999999999986</v>
      </c>
    </row>
    <row r="26" spans="1:47">
      <c r="A26" s="24" t="s">
        <v>29</v>
      </c>
      <c r="B26" s="8">
        <v>499.13456607014996</v>
      </c>
      <c r="C26" s="8">
        <v>3220.83</v>
      </c>
      <c r="D26" s="8">
        <v>-1645.03</v>
      </c>
      <c r="E26" s="8">
        <v>3246.7299999999996</v>
      </c>
      <c r="F26" s="39" t="s">
        <v>30</v>
      </c>
      <c r="G26" s="32" t="s">
        <v>190</v>
      </c>
      <c r="H26" s="8">
        <v>2.3716855208326899E-2</v>
      </c>
      <c r="I26" s="8">
        <v>3.1599328098981021E-2</v>
      </c>
      <c r="J26" s="8">
        <v>0.28462207978242349</v>
      </c>
      <c r="K26" s="8">
        <v>0.17306277477141771</v>
      </c>
      <c r="L26" s="8">
        <v>2.0944374245633712</v>
      </c>
      <c r="M26" s="8">
        <v>0.64642017433468357</v>
      </c>
      <c r="N26" s="8">
        <v>0.98746414106212832</v>
      </c>
      <c r="O26" s="8"/>
      <c r="P26" s="8"/>
      <c r="Q26" s="8">
        <f t="shared" si="0"/>
        <v>2.7408575988980548</v>
      </c>
      <c r="R26" s="8">
        <f t="shared" si="1"/>
        <v>3.7283217399601831</v>
      </c>
      <c r="S26" s="8">
        <f t="shared" si="2"/>
        <v>2.9139203736694723</v>
      </c>
      <c r="T26" s="8">
        <f t="shared" si="3"/>
        <v>3.9013845147316006</v>
      </c>
      <c r="U26" s="8">
        <f t="shared" si="4"/>
        <v>3.2538586367592037</v>
      </c>
      <c r="V26" s="8">
        <f t="shared" si="5"/>
        <v>4.241322777821332</v>
      </c>
      <c r="W26" s="8">
        <f t="shared" si="6"/>
        <v>2.9139203736694723</v>
      </c>
      <c r="X26" s="8">
        <f t="shared" si="7"/>
        <v>0.33993826308973141</v>
      </c>
      <c r="AA26" s="8">
        <f t="shared" si="8"/>
        <v>3.2400557837153419</v>
      </c>
      <c r="AB26" s="8">
        <f t="shared" si="9"/>
        <v>8.5719105204120627</v>
      </c>
      <c r="AE26" s="15">
        <f t="shared" si="10"/>
        <v>4.8800113597380451E-5</v>
      </c>
      <c r="AF26" s="15">
        <f t="shared" si="11"/>
        <v>6.7232612976555361E-5</v>
      </c>
      <c r="AG26" s="15">
        <f t="shared" si="12"/>
        <v>4.1130358350061199E-4</v>
      </c>
      <c r="AH26" s="15">
        <f t="shared" si="13"/>
        <v>1.2273955657547354E-3</v>
      </c>
      <c r="AI26" s="15">
        <f t="shared" si="14"/>
        <v>2.0860930523539556E-3</v>
      </c>
      <c r="AJ26" s="15">
        <f t="shared" si="15"/>
        <v>1.0993540379841558E-3</v>
      </c>
      <c r="AK26" s="15">
        <f t="shared" si="16"/>
        <v>6.7634530209734816E-3</v>
      </c>
      <c r="AN26" s="14">
        <f t="shared" si="17"/>
        <v>0.5591853402987097</v>
      </c>
      <c r="AO26" s="14">
        <f t="shared" si="18"/>
        <v>0.74503473926152941</v>
      </c>
      <c r="AP26" s="14">
        <f t="shared" si="19"/>
        <v>6.7106913265541923</v>
      </c>
      <c r="AQ26" s="14">
        <f t="shared" si="20"/>
        <v>4.0803962310153619</v>
      </c>
      <c r="AR26" s="14">
        <f t="shared" si="21"/>
        <v>49.381703168539197</v>
      </c>
      <c r="AS26" s="14">
        <f t="shared" si="22"/>
        <v>15.241004002688388</v>
      </c>
      <c r="AT26" s="14">
        <f t="shared" si="23"/>
        <v>23.281985191642626</v>
      </c>
      <c r="AU26" s="14">
        <f t="shared" si="24"/>
        <v>100</v>
      </c>
    </row>
    <row r="27" spans="1:47">
      <c r="S27" s="8"/>
    </row>
    <row r="28" spans="1:47">
      <c r="B28" s="8"/>
      <c r="C28" s="8"/>
      <c r="D28" s="8"/>
      <c r="E28" s="8"/>
      <c r="R28" s="8"/>
      <c r="S28" s="8"/>
      <c r="T28" s="8"/>
      <c r="U28" s="8"/>
      <c r="W28" s="8"/>
      <c r="X28" s="8"/>
      <c r="AE28" s="15"/>
      <c r="AF28" s="15"/>
      <c r="AG28" s="15"/>
      <c r="AH28" s="15"/>
      <c r="AI28" s="15"/>
      <c r="AJ28" s="15"/>
      <c r="AK28" s="15"/>
      <c r="AN28" s="14"/>
      <c r="AO28" s="14"/>
      <c r="AP28" s="14"/>
      <c r="AQ28" s="14"/>
      <c r="AR28" s="14"/>
      <c r="AS28" s="14"/>
      <c r="AT28" s="14"/>
      <c r="AU28" s="14"/>
    </row>
    <row r="29" spans="1:47">
      <c r="A29" s="24" t="s">
        <v>135</v>
      </c>
      <c r="B29" s="8"/>
      <c r="C29" s="8"/>
      <c r="D29" s="8"/>
      <c r="E29" s="8"/>
      <c r="F29" s="40"/>
      <c r="R29" s="8"/>
      <c r="S29" s="8"/>
      <c r="T29" s="8"/>
      <c r="U29" s="8"/>
      <c r="W29" s="8"/>
      <c r="X29" s="8"/>
      <c r="AE29" s="15"/>
      <c r="AF29" s="15"/>
      <c r="AG29" s="15"/>
      <c r="AH29" s="15"/>
      <c r="AI29" s="15"/>
      <c r="AJ29" s="15"/>
      <c r="AK29" s="15"/>
      <c r="AN29" s="14"/>
      <c r="AO29" s="14"/>
      <c r="AP29" s="14"/>
      <c r="AQ29" s="14"/>
      <c r="AR29" s="14"/>
      <c r="AS29" s="14"/>
      <c r="AT29" s="14"/>
      <c r="AU29" s="14"/>
    </row>
    <row r="30" spans="1:47">
      <c r="A30" s="24" t="s">
        <v>19</v>
      </c>
      <c r="B30" s="8">
        <v>390.26688710379995</v>
      </c>
      <c r="C30" s="8">
        <v>3111.9668871037998</v>
      </c>
      <c r="D30" s="8">
        <v>-1536.1668871037998</v>
      </c>
      <c r="E30" s="8">
        <v>3137.8668871037994</v>
      </c>
      <c r="F30" s="20" t="s">
        <v>279</v>
      </c>
      <c r="G30" s="32" t="s">
        <v>191</v>
      </c>
      <c r="H30" s="8">
        <v>4.783129412915E-2</v>
      </c>
      <c r="I30" s="8">
        <v>4.0777487857779203E-2</v>
      </c>
      <c r="J30" s="8">
        <v>7.9763946368845012E-2</v>
      </c>
      <c r="K30" s="8">
        <v>0.14601216613317847</v>
      </c>
      <c r="L30" s="8">
        <v>0.89209889127779407</v>
      </c>
      <c r="M30" s="8">
        <v>8.083708172246544E-2</v>
      </c>
      <c r="N30" s="8">
        <v>0.10868242546031429</v>
      </c>
      <c r="O30" s="8"/>
      <c r="P30" s="8"/>
      <c r="Q30" s="8">
        <f t="shared" ref="Q30:Q35" si="25">L30+M30</f>
        <v>0.97293597300025947</v>
      </c>
      <c r="R30" s="8">
        <f t="shared" ref="R30:R35" si="26">L30+M30+N30</f>
        <v>1.0816183984605738</v>
      </c>
      <c r="S30" s="8">
        <f t="shared" si="2"/>
        <v>1.1189481391334382</v>
      </c>
      <c r="T30" s="8">
        <f t="shared" ref="T30:T35" si="27">K30+L30+M30+N30</f>
        <v>1.2276305645937524</v>
      </c>
      <c r="U30" s="8">
        <f t="shared" ref="U30:U35" si="28">H30+I30+J30+K30+L30+M30</f>
        <v>1.2873208674892123</v>
      </c>
      <c r="V30" s="8">
        <f t="shared" ref="V30:V35" si="29">H30+I30+J30+K30+L30+M30+N30</f>
        <v>1.3960032929495265</v>
      </c>
      <c r="W30" s="8">
        <f t="shared" ref="W30:W35" si="30">K30+L30+M30</f>
        <v>1.1189481391334382</v>
      </c>
      <c r="X30" s="8">
        <f t="shared" ref="X30:X35" si="31">H30+I30+J30</f>
        <v>0.16837272835577421</v>
      </c>
      <c r="AA30" s="8">
        <f t="shared" ref="AA30:AA35" si="32">L30/M30</f>
        <v>11.035763195170748</v>
      </c>
      <c r="AB30" s="8">
        <f t="shared" ref="AB30:AB35" si="33">W30/X30</f>
        <v>6.6456613850734971</v>
      </c>
      <c r="AE30" s="15">
        <f t="shared" ref="AE30:AE35" si="34">H30/486</f>
        <v>9.841830067726338E-5</v>
      </c>
      <c r="AF30" s="15">
        <f t="shared" ref="AF30:AF35" si="35">I30/470</f>
        <v>8.6760612463360006E-5</v>
      </c>
      <c r="AG30" s="15">
        <f t="shared" ref="AG30:AG35" si="36">J30/692</f>
        <v>1.1526581845208817E-4</v>
      </c>
      <c r="AH30" s="15">
        <f t="shared" ref="AH30:AH35" si="37">K30/141</f>
        <v>1.0355472775402728E-3</v>
      </c>
      <c r="AI30" s="15">
        <f t="shared" ref="AI30:AI35" si="38">L30/1004</f>
        <v>8.8854471242808171E-4</v>
      </c>
      <c r="AJ30" s="15">
        <f t="shared" ref="AJ30:AJ35" si="39">M30/588</f>
        <v>1.3747803014024735E-4</v>
      </c>
      <c r="AK30" s="15">
        <f t="shared" ref="AK30:AK35" si="40">N30/146</f>
        <v>7.444001743857143E-4</v>
      </c>
      <c r="AN30" s="14">
        <f t="shared" si="17"/>
        <v>3.4263023855832246</v>
      </c>
      <c r="AO30" s="14">
        <f t="shared" si="18"/>
        <v>2.9210165952848897</v>
      </c>
      <c r="AP30" s="14">
        <f t="shared" si="19"/>
        <v>5.7137362620625947</v>
      </c>
      <c r="AQ30" s="14">
        <f t="shared" si="20"/>
        <v>10.459299549693659</v>
      </c>
      <c r="AR30" s="14">
        <f t="shared" si="21"/>
        <v>63.903781300754318</v>
      </c>
      <c r="AS30" s="14">
        <f t="shared" si="22"/>
        <v>5.7906082407348709</v>
      </c>
      <c r="AT30" s="14">
        <f t="shared" si="23"/>
        <v>7.7852556658864396</v>
      </c>
      <c r="AU30" s="14">
        <f t="shared" si="24"/>
        <v>100</v>
      </c>
    </row>
    <row r="31" spans="1:47">
      <c r="A31" s="24" t="s">
        <v>52</v>
      </c>
      <c r="B31" s="8">
        <v>431.55914134875002</v>
      </c>
      <c r="C31" s="8">
        <v>3153.2591413487498</v>
      </c>
      <c r="D31" s="8">
        <v>-1577.4591413487499</v>
      </c>
      <c r="E31" s="8">
        <v>3179.1591413487495</v>
      </c>
      <c r="F31" s="41" t="s">
        <v>280</v>
      </c>
      <c r="G31" s="32" t="s">
        <v>189</v>
      </c>
      <c r="H31" s="8">
        <v>2.9178338001867411E-2</v>
      </c>
      <c r="I31" s="8">
        <v>6.610845718717856E-2</v>
      </c>
      <c r="J31" s="8">
        <v>0.3206450600625661</v>
      </c>
      <c r="K31" s="8">
        <v>0.21141611006819</v>
      </c>
      <c r="L31" s="8">
        <v>3.6295485445359184</v>
      </c>
      <c r="M31" s="8">
        <v>4.41481135318055</v>
      </c>
      <c r="N31" s="8">
        <v>1.6916006324822301</v>
      </c>
      <c r="O31" s="8"/>
      <c r="P31" s="8"/>
      <c r="Q31" s="8">
        <f t="shared" si="25"/>
        <v>8.0443598977164683</v>
      </c>
      <c r="R31" s="8">
        <f t="shared" si="26"/>
        <v>9.7359605301986978</v>
      </c>
      <c r="S31" s="8">
        <f t="shared" si="2"/>
        <v>8.2557760077846574</v>
      </c>
      <c r="T31" s="8">
        <f t="shared" si="27"/>
        <v>9.9473766402668868</v>
      </c>
      <c r="U31" s="8">
        <f t="shared" si="28"/>
        <v>8.6717078630362714</v>
      </c>
      <c r="V31" s="8">
        <f t="shared" si="29"/>
        <v>10.363308495518501</v>
      </c>
      <c r="W31" s="8">
        <f t="shared" si="30"/>
        <v>8.2557760077846574</v>
      </c>
      <c r="X31" s="8">
        <f t="shared" si="31"/>
        <v>0.41593185525161208</v>
      </c>
      <c r="AA31" s="8">
        <f t="shared" si="32"/>
        <v>0.82212992904466753</v>
      </c>
      <c r="AB31" s="8">
        <f t="shared" si="33"/>
        <v>19.848866836108147</v>
      </c>
      <c r="AE31" s="15">
        <f t="shared" si="34"/>
        <v>6.0037732514130476E-5</v>
      </c>
      <c r="AF31" s="15">
        <f t="shared" si="35"/>
        <v>1.4065629188761395E-4</v>
      </c>
      <c r="AG31" s="15">
        <f t="shared" si="36"/>
        <v>4.6335991338521115E-4</v>
      </c>
      <c r="AH31" s="15">
        <f t="shared" si="37"/>
        <v>1.49940503594461E-3</v>
      </c>
      <c r="AI31" s="15">
        <f t="shared" si="38"/>
        <v>3.6150881917688428E-3</v>
      </c>
      <c r="AJ31" s="15">
        <f t="shared" si="39"/>
        <v>7.5081825734363093E-3</v>
      </c>
      <c r="AK31" s="15">
        <f t="shared" si="40"/>
        <v>1.1586305701933083E-2</v>
      </c>
      <c r="AN31" s="14">
        <f t="shared" si="17"/>
        <v>0.28155427404757144</v>
      </c>
      <c r="AO31" s="14">
        <f t="shared" si="18"/>
        <v>0.6379088031179081</v>
      </c>
      <c r="AP31" s="14">
        <f t="shared" si="19"/>
        <v>3.0940414463317918</v>
      </c>
      <c r="AQ31" s="14">
        <f t="shared" si="20"/>
        <v>2.0400445490898451</v>
      </c>
      <c r="AR31" s="14">
        <f t="shared" si="21"/>
        <v>35.023067643942831</v>
      </c>
      <c r="AS31" s="14">
        <f t="shared" si="22"/>
        <v>42.600404639982365</v>
      </c>
      <c r="AT31" s="14">
        <f t="shared" si="23"/>
        <v>16.322978643487691</v>
      </c>
      <c r="AU31" s="14">
        <f t="shared" si="24"/>
        <v>99.999999999999986</v>
      </c>
    </row>
    <row r="32" spans="1:47">
      <c r="A32" s="24" t="s">
        <v>38</v>
      </c>
      <c r="B32" s="8">
        <v>431.55914134875002</v>
      </c>
      <c r="C32" s="8">
        <v>3153.2591413487498</v>
      </c>
      <c r="D32" s="8">
        <v>-1577.4591413487499</v>
      </c>
      <c r="E32" s="8">
        <v>3179.1591413487495</v>
      </c>
      <c r="F32" s="41" t="s">
        <v>280</v>
      </c>
      <c r="G32" s="32" t="s">
        <v>190</v>
      </c>
      <c r="H32" s="8">
        <v>5.004727204113163E-2</v>
      </c>
      <c r="I32" s="8">
        <v>8.734869221235711E-2</v>
      </c>
      <c r="J32" s="8">
        <v>0.28054712536422671</v>
      </c>
      <c r="K32" s="8">
        <v>0.24742344994403662</v>
      </c>
      <c r="L32" s="8">
        <v>1.7002810077556383</v>
      </c>
      <c r="M32" s="8">
        <v>1.3517959011603999</v>
      </c>
      <c r="N32" s="8">
        <v>0.57968213224500009</v>
      </c>
      <c r="O32" s="8"/>
      <c r="P32" s="8"/>
      <c r="Q32" s="8">
        <f t="shared" si="25"/>
        <v>3.052076908916038</v>
      </c>
      <c r="R32" s="8">
        <f t="shared" si="26"/>
        <v>3.6317590411610379</v>
      </c>
      <c r="S32" s="8">
        <f t="shared" si="2"/>
        <v>3.2995003588600751</v>
      </c>
      <c r="T32" s="8">
        <f t="shared" si="27"/>
        <v>3.879182491105075</v>
      </c>
      <c r="U32" s="8">
        <f t="shared" si="28"/>
        <v>3.7174434484777903</v>
      </c>
      <c r="V32" s="8">
        <f t="shared" si="29"/>
        <v>4.2971255807227902</v>
      </c>
      <c r="W32" s="8">
        <f t="shared" si="30"/>
        <v>3.2995003588600751</v>
      </c>
      <c r="X32" s="8">
        <f t="shared" si="31"/>
        <v>0.41794308961771542</v>
      </c>
      <c r="AA32" s="8">
        <f t="shared" si="32"/>
        <v>1.2577941731411479</v>
      </c>
      <c r="AB32" s="8">
        <f t="shared" si="33"/>
        <v>7.8946163743921813</v>
      </c>
      <c r="AE32" s="15">
        <f t="shared" si="34"/>
        <v>1.0297792601055891E-4</v>
      </c>
      <c r="AF32" s="15">
        <f t="shared" si="35"/>
        <v>1.8584828130288746E-4</v>
      </c>
      <c r="AG32" s="15">
        <f t="shared" si="36"/>
        <v>4.0541492104657038E-4</v>
      </c>
      <c r="AH32" s="15">
        <f t="shared" si="37"/>
        <v>1.7547762407378483E-3</v>
      </c>
      <c r="AI32" s="15">
        <f t="shared" si="38"/>
        <v>1.6935069798362931E-3</v>
      </c>
      <c r="AJ32" s="15">
        <f t="shared" si="39"/>
        <v>2.2989726210210885E-3</v>
      </c>
      <c r="AK32" s="15">
        <f t="shared" si="40"/>
        <v>3.9704255633219183E-3</v>
      </c>
      <c r="AN32" s="14">
        <f t="shared" si="17"/>
        <v>1.1646685930159275</v>
      </c>
      <c r="AO32" s="14">
        <f t="shared" si="18"/>
        <v>2.0327237492013155</v>
      </c>
      <c r="AP32" s="14">
        <f t="shared" si="19"/>
        <v>6.5287160008257841</v>
      </c>
      <c r="AQ32" s="14">
        <f t="shared" si="20"/>
        <v>5.7578826891630941</v>
      </c>
      <c r="AR32" s="14">
        <f t="shared" si="21"/>
        <v>39.567868702353479</v>
      </c>
      <c r="AS32" s="14">
        <f t="shared" si="22"/>
        <v>31.45814279258331</v>
      </c>
      <c r="AT32" s="14">
        <f t="shared" si="23"/>
        <v>13.489997472857095</v>
      </c>
      <c r="AU32" s="14">
        <f t="shared" si="24"/>
        <v>100</v>
      </c>
    </row>
    <row r="33" spans="1:47">
      <c r="A33" s="24" t="s">
        <v>42</v>
      </c>
      <c r="B33" s="8">
        <v>431.55914134875002</v>
      </c>
      <c r="C33" s="8">
        <v>3153.2591413487498</v>
      </c>
      <c r="D33" s="8">
        <v>-1577.4591413487499</v>
      </c>
      <c r="E33" s="8">
        <v>3179.1591413487495</v>
      </c>
      <c r="F33" s="41" t="s">
        <v>281</v>
      </c>
      <c r="G33" s="32" t="s">
        <v>190</v>
      </c>
      <c r="H33" s="8">
        <v>4.1208381260171699E-2</v>
      </c>
      <c r="I33" s="8">
        <v>7.3493518952319994E-2</v>
      </c>
      <c r="J33" s="8">
        <v>0.43482011884612276</v>
      </c>
      <c r="K33" s="8">
        <v>0.15539236998192227</v>
      </c>
      <c r="L33" s="8">
        <v>1.3819745530602288</v>
      </c>
      <c r="M33" s="8">
        <v>0.23907182835820906</v>
      </c>
      <c r="N33" s="8">
        <v>0.51142192264484021</v>
      </c>
      <c r="O33" s="8"/>
      <c r="P33" s="8"/>
      <c r="Q33" s="8">
        <f t="shared" si="25"/>
        <v>1.6210463814184379</v>
      </c>
      <c r="R33" s="8">
        <f t="shared" si="26"/>
        <v>2.1324683040632779</v>
      </c>
      <c r="S33" s="8">
        <f t="shared" si="2"/>
        <v>1.7764387514003599</v>
      </c>
      <c r="T33" s="8">
        <f t="shared" si="27"/>
        <v>2.2878606740452003</v>
      </c>
      <c r="U33" s="8">
        <f t="shared" si="28"/>
        <v>2.3259607704589746</v>
      </c>
      <c r="V33" s="8">
        <f t="shared" si="29"/>
        <v>2.8373826931038151</v>
      </c>
      <c r="W33" s="8">
        <f t="shared" si="30"/>
        <v>1.7764387514003599</v>
      </c>
      <c r="X33" s="8">
        <f t="shared" si="31"/>
        <v>0.54952201905861442</v>
      </c>
      <c r="AA33" s="8">
        <f t="shared" si="32"/>
        <v>5.7805830262425211</v>
      </c>
      <c r="AB33" s="8">
        <f t="shared" si="33"/>
        <v>3.2326980353645798</v>
      </c>
      <c r="AE33" s="15">
        <f t="shared" si="34"/>
        <v>8.4790907942740122E-5</v>
      </c>
      <c r="AF33" s="15">
        <f t="shared" si="35"/>
        <v>1.5636918926025532E-4</v>
      </c>
      <c r="AG33" s="15">
        <f t="shared" si="36"/>
        <v>6.2835277289902136E-4</v>
      </c>
      <c r="AH33" s="15">
        <f t="shared" si="37"/>
        <v>1.1020735459710798E-3</v>
      </c>
      <c r="AI33" s="15">
        <f t="shared" si="38"/>
        <v>1.3764686783468414E-3</v>
      </c>
      <c r="AJ33" s="15">
        <f t="shared" si="39"/>
        <v>4.0658474210579775E-4</v>
      </c>
      <c r="AK33" s="15">
        <f t="shared" si="40"/>
        <v>3.5028898811290425E-3</v>
      </c>
      <c r="AN33" s="14">
        <f t="shared" si="17"/>
        <v>1.4523377956850023</v>
      </c>
      <c r="AO33" s="14">
        <f t="shared" si="18"/>
        <v>2.590187045651053</v>
      </c>
      <c r="AP33" s="14">
        <f t="shared" si="19"/>
        <v>15.324690599648111</v>
      </c>
      <c r="AQ33" s="14">
        <f t="shared" si="20"/>
        <v>5.4766094950673869</v>
      </c>
      <c r="AR33" s="14">
        <f t="shared" si="21"/>
        <v>48.705962590773602</v>
      </c>
      <c r="AS33" s="14">
        <f t="shared" si="22"/>
        <v>8.4257872207110776</v>
      </c>
      <c r="AT33" s="14">
        <f t="shared" si="23"/>
        <v>18.024425252463757</v>
      </c>
      <c r="AU33" s="14">
        <f t="shared" si="24"/>
        <v>99.999999999999986</v>
      </c>
    </row>
    <row r="34" spans="1:47">
      <c r="A34" s="24" t="s">
        <v>34</v>
      </c>
      <c r="B34" s="8">
        <v>444.42242516159996</v>
      </c>
      <c r="C34" s="8">
        <v>3166.1224251615999</v>
      </c>
      <c r="D34" s="8">
        <v>-1590.3224251616</v>
      </c>
      <c r="E34" s="8">
        <v>3192.0224251615996</v>
      </c>
      <c r="F34" s="41" t="s">
        <v>282</v>
      </c>
      <c r="G34" s="32" t="s">
        <v>190</v>
      </c>
      <c r="H34" s="8">
        <v>2.6681481136680379E-2</v>
      </c>
      <c r="I34" s="8">
        <v>6.8815957544758888E-2</v>
      </c>
      <c r="J34" s="8">
        <v>0.61423431584163246</v>
      </c>
      <c r="K34" s="8">
        <v>0.31526089339895125</v>
      </c>
      <c r="L34" s="8">
        <v>2.6717788657068988</v>
      </c>
      <c r="M34" s="8">
        <v>2.7536478047525561</v>
      </c>
      <c r="N34" s="8">
        <v>1.4555689506148974</v>
      </c>
      <c r="O34" s="8"/>
      <c r="P34" s="8"/>
      <c r="Q34" s="8">
        <f t="shared" si="25"/>
        <v>5.4254266704594549</v>
      </c>
      <c r="R34" s="8">
        <f t="shared" si="26"/>
        <v>6.8809956210743524</v>
      </c>
      <c r="S34" s="8">
        <f t="shared" si="2"/>
        <v>5.7406875638584065</v>
      </c>
      <c r="T34" s="8">
        <f t="shared" si="27"/>
        <v>7.1962565144733039</v>
      </c>
      <c r="U34" s="8">
        <f t="shared" si="28"/>
        <v>6.4504193183814778</v>
      </c>
      <c r="V34" s="8">
        <f t="shared" si="29"/>
        <v>7.9059882689963752</v>
      </c>
      <c r="W34" s="8">
        <f t="shared" si="30"/>
        <v>5.7406875638584065</v>
      </c>
      <c r="X34" s="8">
        <f t="shared" si="31"/>
        <v>0.70973175452307169</v>
      </c>
      <c r="AA34" s="8">
        <f t="shared" si="32"/>
        <v>0.97026891423646888</v>
      </c>
      <c r="AB34" s="8">
        <f t="shared" si="33"/>
        <v>8.0885313743867311</v>
      </c>
      <c r="AE34" s="15">
        <f t="shared" si="34"/>
        <v>5.4900166947902015E-5</v>
      </c>
      <c r="AF34" s="15">
        <f t="shared" si="35"/>
        <v>1.4641693094629552E-4</v>
      </c>
      <c r="AG34" s="15">
        <f t="shared" si="36"/>
        <v>8.8762184370178097E-4</v>
      </c>
      <c r="AH34" s="15">
        <f t="shared" si="37"/>
        <v>2.2358928609854697E-3</v>
      </c>
      <c r="AI34" s="15">
        <f t="shared" si="38"/>
        <v>2.6611343283933254E-3</v>
      </c>
      <c r="AJ34" s="15">
        <f t="shared" si="39"/>
        <v>4.6830744978784969E-3</v>
      </c>
      <c r="AK34" s="15">
        <f t="shared" si="40"/>
        <v>9.9696503466773796E-3</v>
      </c>
      <c r="AN34" s="14">
        <f t="shared" si="17"/>
        <v>0.33748445139126748</v>
      </c>
      <c r="AO34" s="14">
        <f t="shared" si="18"/>
        <v>0.87042827795005973</v>
      </c>
      <c r="AP34" s="14">
        <f t="shared" si="19"/>
        <v>7.7692287787774115</v>
      </c>
      <c r="AQ34" s="14">
        <f t="shared" si="20"/>
        <v>3.9876215682643812</v>
      </c>
      <c r="AR34" s="14">
        <f t="shared" si="21"/>
        <v>33.794369214844124</v>
      </c>
      <c r="AS34" s="14">
        <f t="shared" si="22"/>
        <v>34.829899957619311</v>
      </c>
      <c r="AT34" s="14">
        <f t="shared" si="23"/>
        <v>18.41096775115345</v>
      </c>
      <c r="AU34" s="14">
        <f t="shared" si="24"/>
        <v>100</v>
      </c>
    </row>
    <row r="35" spans="1:47">
      <c r="A35" s="24" t="s">
        <v>40</v>
      </c>
      <c r="B35" s="8">
        <v>444.42242516159996</v>
      </c>
      <c r="C35" s="8">
        <v>3166.1224251615999</v>
      </c>
      <c r="D35" s="8">
        <v>-1590.3224251616</v>
      </c>
      <c r="E35" s="8">
        <v>3192.0224251615996</v>
      </c>
      <c r="F35" s="41" t="s">
        <v>288</v>
      </c>
      <c r="G35" s="32" t="s">
        <v>190</v>
      </c>
      <c r="H35" s="8">
        <v>3.9940141332359597E-2</v>
      </c>
      <c r="I35" s="8">
        <v>6.1720400210982997E-2</v>
      </c>
      <c r="J35" s="8">
        <v>0.20763735643456116</v>
      </c>
      <c r="K35" s="8">
        <v>9.3130771656848202E-2</v>
      </c>
      <c r="L35" s="8">
        <v>0.35479797428352089</v>
      </c>
      <c r="M35" s="8">
        <v>0.27126799032729798</v>
      </c>
      <c r="N35" s="8">
        <v>0.31888530016378752</v>
      </c>
      <c r="O35" s="8"/>
      <c r="P35" s="8"/>
      <c r="Q35" s="8">
        <f t="shared" si="25"/>
        <v>0.62606596461081887</v>
      </c>
      <c r="R35" s="8">
        <f t="shared" si="26"/>
        <v>0.94495126477460634</v>
      </c>
      <c r="S35" s="8">
        <f t="shared" si="2"/>
        <v>0.719196736267667</v>
      </c>
      <c r="T35" s="8">
        <f t="shared" si="27"/>
        <v>1.0380820364314545</v>
      </c>
      <c r="U35" s="8">
        <f t="shared" si="28"/>
        <v>1.028494634245571</v>
      </c>
      <c r="V35" s="8">
        <f t="shared" si="29"/>
        <v>1.3473799344093584</v>
      </c>
      <c r="W35" s="8">
        <f t="shared" si="30"/>
        <v>0.719196736267667</v>
      </c>
      <c r="X35" s="8">
        <f t="shared" si="31"/>
        <v>0.30929789797790375</v>
      </c>
      <c r="AA35" s="8">
        <f t="shared" si="32"/>
        <v>1.3079242186128925</v>
      </c>
      <c r="AB35" s="8">
        <f t="shared" si="33"/>
        <v>2.3252558163814174</v>
      </c>
      <c r="AE35" s="15">
        <f t="shared" si="34"/>
        <v>8.2181360766172014E-5</v>
      </c>
      <c r="AF35" s="15">
        <f t="shared" si="35"/>
        <v>1.3132000044889999E-4</v>
      </c>
      <c r="AG35" s="15">
        <f t="shared" si="36"/>
        <v>3.0005398328693809E-4</v>
      </c>
      <c r="AH35" s="15">
        <f t="shared" si="37"/>
        <v>6.6050192664431344E-4</v>
      </c>
      <c r="AI35" s="15">
        <f t="shared" si="38"/>
        <v>3.533844365373714E-4</v>
      </c>
      <c r="AJ35" s="15">
        <f t="shared" si="39"/>
        <v>4.6134011960424824E-4</v>
      </c>
      <c r="AK35" s="15">
        <f t="shared" si="40"/>
        <v>2.1841458915327914E-3</v>
      </c>
      <c r="AN35" s="14">
        <f t="shared" si="17"/>
        <v>2.9642820345152221</v>
      </c>
      <c r="AO35" s="14">
        <f t="shared" si="18"/>
        <v>4.580771810145662</v>
      </c>
      <c r="AP35" s="14">
        <f t="shared" si="19"/>
        <v>15.410453364483397</v>
      </c>
      <c r="AQ35" s="14">
        <f t="shared" si="20"/>
        <v>6.9119903954687656</v>
      </c>
      <c r="AR35" s="14">
        <f t="shared" si="21"/>
        <v>26.332437141351015</v>
      </c>
      <c r="AS35" s="14">
        <f t="shared" si="22"/>
        <v>20.132999119228522</v>
      </c>
      <c r="AT35" s="14">
        <f t="shared" si="23"/>
        <v>23.667066134807406</v>
      </c>
      <c r="AU35" s="14">
        <f t="shared" si="24"/>
        <v>100</v>
      </c>
    </row>
    <row r="36" spans="1:47">
      <c r="A36" s="24" t="s">
        <v>56</v>
      </c>
      <c r="B36" s="8">
        <v>447.24766445919994</v>
      </c>
      <c r="C36" s="8">
        <v>3168.9476644591996</v>
      </c>
      <c r="D36" s="8">
        <v>-1593.1476644591996</v>
      </c>
      <c r="E36" s="8">
        <v>3194.8476644591992</v>
      </c>
      <c r="F36" s="41" t="s">
        <v>282</v>
      </c>
      <c r="G36" s="32" t="s">
        <v>189</v>
      </c>
      <c r="H36" s="8">
        <v>3.8708079150280253E-2</v>
      </c>
      <c r="I36" s="8">
        <v>3.0694893848962797E-2</v>
      </c>
      <c r="J36" s="8">
        <v>0.22614543327741368</v>
      </c>
      <c r="K36" s="8">
        <v>0.12256239378658899</v>
      </c>
      <c r="L36" s="8">
        <v>1.3296387905244764</v>
      </c>
      <c r="M36" s="8">
        <v>0.86196508146294004</v>
      </c>
      <c r="N36" s="8">
        <v>0.64524243605030551</v>
      </c>
      <c r="O36" s="8"/>
      <c r="P36" s="8"/>
      <c r="Q36" s="8">
        <f t="shared" si="0"/>
        <v>2.1916038719874162</v>
      </c>
      <c r="R36" s="8">
        <f t="shared" si="1"/>
        <v>2.836846308037722</v>
      </c>
      <c r="S36" s="8">
        <f t="shared" si="2"/>
        <v>2.3141662657740056</v>
      </c>
      <c r="T36" s="8">
        <f t="shared" si="3"/>
        <v>2.9594087018243114</v>
      </c>
      <c r="U36" s="8">
        <f t="shared" si="4"/>
        <v>2.6097146720506621</v>
      </c>
      <c r="V36" s="8">
        <f t="shared" si="5"/>
        <v>3.2549571081009674</v>
      </c>
      <c r="W36" s="8">
        <f t="shared" si="6"/>
        <v>2.3141662657740056</v>
      </c>
      <c r="X36" s="8">
        <f t="shared" si="7"/>
        <v>0.29554840627665674</v>
      </c>
      <c r="AA36" s="8">
        <f t="shared" si="8"/>
        <v>1.5425668848067413</v>
      </c>
      <c r="AB36" s="8">
        <f t="shared" si="9"/>
        <v>7.8300752655988362</v>
      </c>
      <c r="AE36" s="15">
        <f t="shared" si="10"/>
        <v>7.9646253395638378E-5</v>
      </c>
      <c r="AF36" s="15">
        <f t="shared" si="11"/>
        <v>6.5308284785027231E-5</v>
      </c>
      <c r="AG36" s="15">
        <f t="shared" si="12"/>
        <v>3.2679975907140703E-4</v>
      </c>
      <c r="AH36" s="15">
        <f t="shared" si="13"/>
        <v>8.6923683536587935E-4</v>
      </c>
      <c r="AI36" s="15">
        <f t="shared" si="14"/>
        <v>1.3243414248251756E-3</v>
      </c>
      <c r="AJ36" s="15">
        <f t="shared" si="15"/>
        <v>1.4659270092907144E-3</v>
      </c>
      <c r="AK36" s="15">
        <f t="shared" si="16"/>
        <v>4.4194687400705857E-3</v>
      </c>
      <c r="AN36" s="14">
        <f t="shared" si="17"/>
        <v>1.1892039699676296</v>
      </c>
      <c r="AO36" s="14">
        <f t="shared" si="18"/>
        <v>0.94301991791440387</v>
      </c>
      <c r="AP36" s="14">
        <f t="shared" si="19"/>
        <v>6.9477239105418889</v>
      </c>
      <c r="AQ36" s="14">
        <f t="shared" si="20"/>
        <v>3.7654073376744219</v>
      </c>
      <c r="AR36" s="14">
        <f t="shared" si="21"/>
        <v>40.849656273972371</v>
      </c>
      <c r="AS36" s="14">
        <f t="shared" si="22"/>
        <v>26.481611057720958</v>
      </c>
      <c r="AT36" s="14">
        <f t="shared" si="23"/>
        <v>19.82337753220834</v>
      </c>
      <c r="AU36" s="14">
        <f t="shared" si="24"/>
        <v>100.00000000000001</v>
      </c>
    </row>
    <row r="37" spans="1:47">
      <c r="A37" s="24" t="s">
        <v>54</v>
      </c>
      <c r="B37" s="8">
        <v>509.7407293572</v>
      </c>
      <c r="C37" s="8">
        <v>3231.4407293571999</v>
      </c>
      <c r="D37" s="8">
        <v>-1655.6407293571999</v>
      </c>
      <c r="E37" s="8">
        <v>3257.3407293571995</v>
      </c>
      <c r="F37" s="41" t="s">
        <v>282</v>
      </c>
      <c r="G37" s="32" t="s">
        <v>189</v>
      </c>
      <c r="H37" s="8">
        <v>2.1896909302443202E-2</v>
      </c>
      <c r="I37" s="8">
        <v>3.2904791511260786E-2</v>
      </c>
      <c r="J37" s="8">
        <v>0.20779449609062062</v>
      </c>
      <c r="K37" s="8">
        <v>9.7045926168725302E-2</v>
      </c>
      <c r="L37" s="8">
        <v>0.85237890622517609</v>
      </c>
      <c r="M37" s="8">
        <v>0.9277332482502515</v>
      </c>
      <c r="N37" s="8">
        <v>1.1575338555164012</v>
      </c>
      <c r="O37" s="8"/>
      <c r="P37" s="8"/>
      <c r="Q37" s="8">
        <f t="shared" si="0"/>
        <v>1.7801121544754275</v>
      </c>
      <c r="R37" s="8">
        <f t="shared" si="1"/>
        <v>2.9376460099918287</v>
      </c>
      <c r="S37" s="8">
        <f t="shared" si="2"/>
        <v>1.8771580806441528</v>
      </c>
      <c r="T37" s="8">
        <f t="shared" si="3"/>
        <v>3.034691936160554</v>
      </c>
      <c r="U37" s="8">
        <f t="shared" si="4"/>
        <v>2.1397542775484775</v>
      </c>
      <c r="V37" s="8">
        <f t="shared" si="5"/>
        <v>3.2972881330648787</v>
      </c>
      <c r="W37" s="8">
        <f t="shared" si="6"/>
        <v>1.8771580806441528</v>
      </c>
      <c r="X37" s="8">
        <f t="shared" si="7"/>
        <v>0.26259619690432462</v>
      </c>
      <c r="AA37" s="8">
        <f t="shared" si="8"/>
        <v>0.91877585268481299</v>
      </c>
      <c r="AB37" s="8">
        <f t="shared" si="9"/>
        <v>7.1484587468267273</v>
      </c>
      <c r="AE37" s="15">
        <f t="shared" si="10"/>
        <v>4.5055368935068315E-5</v>
      </c>
      <c r="AF37" s="15">
        <f t="shared" si="11"/>
        <v>7.0010194704810179E-5</v>
      </c>
      <c r="AG37" s="15">
        <f t="shared" si="12"/>
        <v>3.0028106371476969E-4</v>
      </c>
      <c r="AH37" s="15">
        <f t="shared" si="13"/>
        <v>6.882689799200376E-4</v>
      </c>
      <c r="AI37" s="15">
        <f t="shared" si="14"/>
        <v>8.4898297432786467E-4</v>
      </c>
      <c r="AJ37" s="15">
        <f t="shared" si="15"/>
        <v>1.577777633078659E-3</v>
      </c>
      <c r="AK37" s="15">
        <f t="shared" si="16"/>
        <v>7.9283140788794608E-3</v>
      </c>
      <c r="AN37" s="14">
        <f t="shared" si="17"/>
        <v>0.6640884393105706</v>
      </c>
      <c r="AO37" s="14">
        <f t="shared" si="18"/>
        <v>0.99793497514805574</v>
      </c>
      <c r="AP37" s="14">
        <f t="shared" si="19"/>
        <v>6.3019817409002874</v>
      </c>
      <c r="AQ37" s="14">
        <f t="shared" si="20"/>
        <v>2.9432043016064737</v>
      </c>
      <c r="AR37" s="14">
        <f t="shared" si="21"/>
        <v>25.850907528450573</v>
      </c>
      <c r="AS37" s="14">
        <f t="shared" si="22"/>
        <v>28.136250482541531</v>
      </c>
      <c r="AT37" s="14">
        <f t="shared" si="23"/>
        <v>35.105632532042513</v>
      </c>
      <c r="AU37" s="14">
        <f t="shared" si="24"/>
        <v>100.00000000000001</v>
      </c>
    </row>
    <row r="38" spans="1:47">
      <c r="A38" s="24" t="s">
        <v>39</v>
      </c>
      <c r="B38" s="8" t="s">
        <v>265</v>
      </c>
      <c r="C38" s="8" t="s">
        <v>265</v>
      </c>
      <c r="D38" s="8" t="s">
        <v>265</v>
      </c>
      <c r="E38" s="8" t="s">
        <v>265</v>
      </c>
      <c r="F38" s="41" t="s">
        <v>283</v>
      </c>
      <c r="G38" s="32" t="s">
        <v>190</v>
      </c>
      <c r="H38" s="8">
        <v>2.1114126602943099E-2</v>
      </c>
      <c r="I38" s="8">
        <v>2.8352167872095001E-2</v>
      </c>
      <c r="J38" s="8">
        <v>0.21999825404365431</v>
      </c>
      <c r="K38" s="8">
        <v>0.11009862558989854</v>
      </c>
      <c r="L38" s="8">
        <v>1.9321420838399717</v>
      </c>
      <c r="M38" s="8">
        <v>1.25977988002692</v>
      </c>
      <c r="N38" s="8">
        <v>0.43781031645749918</v>
      </c>
      <c r="O38" s="8"/>
      <c r="P38" s="8"/>
      <c r="Q38" s="8">
        <f>L38+M38</f>
        <v>3.1919219638668919</v>
      </c>
      <c r="R38" s="8">
        <f>L38+M38+N38</f>
        <v>3.629732280324391</v>
      </c>
      <c r="S38" s="8">
        <f t="shared" si="2"/>
        <v>3.3020205894567898</v>
      </c>
      <c r="T38" s="8">
        <f>K38+L38+M38+N38</f>
        <v>3.7398309059142889</v>
      </c>
      <c r="U38" s="8">
        <f>H38+I38+J38+K38+L38+M38</f>
        <v>3.5714851379754826</v>
      </c>
      <c r="V38" s="8">
        <f>H38+I38+J38+K38+L38+M38+N38</f>
        <v>4.0092954544329817</v>
      </c>
      <c r="W38" s="8">
        <f>K38+L38+M38</f>
        <v>3.3020205894567898</v>
      </c>
      <c r="X38" s="8">
        <f>H38+I38+J38</f>
        <v>0.26946454851869239</v>
      </c>
      <c r="AA38" s="8">
        <f>L38/M38</f>
        <v>1.533714035660487</v>
      </c>
      <c r="AB38" s="8">
        <f>W38/X38</f>
        <v>12.254007466320688</v>
      </c>
      <c r="AE38" s="15">
        <f>H38/486</f>
        <v>4.3444704944327365E-5</v>
      </c>
      <c r="AF38" s="15">
        <f>I38/470</f>
        <v>6.0323761429989364E-5</v>
      </c>
      <c r="AG38" s="15">
        <f>J38/692</f>
        <v>3.1791655208620565E-4</v>
      </c>
      <c r="AH38" s="15">
        <f>K38/141</f>
        <v>7.8084131624041515E-4</v>
      </c>
      <c r="AI38" s="15">
        <f>L38/1004</f>
        <v>1.9244443066135175E-3</v>
      </c>
      <c r="AJ38" s="15">
        <f>M38/588</f>
        <v>2.1424827891614287E-3</v>
      </c>
      <c r="AK38" s="15">
        <f>N38/146</f>
        <v>2.9987007976541042E-3</v>
      </c>
      <c r="AN38" s="14">
        <f t="shared" si="17"/>
        <v>0.52662935029140134</v>
      </c>
      <c r="AO38" s="14">
        <f t="shared" si="18"/>
        <v>0.70716085143455043</v>
      </c>
      <c r="AP38" s="14">
        <f t="shared" si="19"/>
        <v>5.4872048354632366</v>
      </c>
      <c r="AQ38" s="14">
        <f t="shared" si="20"/>
        <v>2.7460841148078803</v>
      </c>
      <c r="AR38" s="14">
        <f t="shared" si="21"/>
        <v>48.191561480051277</v>
      </c>
      <c r="AS38" s="14">
        <f t="shared" si="22"/>
        <v>31.421477771961445</v>
      </c>
      <c r="AT38" s="14">
        <f t="shared" si="23"/>
        <v>10.919881595990208</v>
      </c>
      <c r="AU38" s="14">
        <f t="shared" si="24"/>
        <v>100</v>
      </c>
    </row>
    <row r="39" spans="1:47">
      <c r="A39" s="24" t="s">
        <v>37</v>
      </c>
      <c r="B39" s="8" t="s">
        <v>265</v>
      </c>
      <c r="C39" s="8" t="s">
        <v>265</v>
      </c>
      <c r="D39" s="8" t="s">
        <v>265</v>
      </c>
      <c r="E39" s="8" t="s">
        <v>265</v>
      </c>
      <c r="F39" s="41" t="s">
        <v>280</v>
      </c>
      <c r="G39" s="32" t="s">
        <v>190</v>
      </c>
      <c r="H39" s="8">
        <v>3.8083212484689002E-2</v>
      </c>
      <c r="I39" s="8">
        <v>2.8794539129720464E-2</v>
      </c>
      <c r="J39" s="8">
        <v>0.26296482474128052</v>
      </c>
      <c r="K39" s="8">
        <v>0.13140343359376327</v>
      </c>
      <c r="L39" s="8">
        <v>1.6577269377049739</v>
      </c>
      <c r="M39" s="8">
        <v>1.35420616826607</v>
      </c>
      <c r="N39" s="8">
        <v>0.93305291888977049</v>
      </c>
      <c r="O39" s="8"/>
      <c r="P39" s="8"/>
      <c r="Q39" s="8">
        <f t="shared" si="0"/>
        <v>3.0119331059710439</v>
      </c>
      <c r="R39" s="8">
        <f t="shared" si="1"/>
        <v>3.9449860248608144</v>
      </c>
      <c r="S39" s="8">
        <f t="shared" si="2"/>
        <v>3.1433365395648072</v>
      </c>
      <c r="T39" s="8">
        <f t="shared" si="3"/>
        <v>4.0763894584545781</v>
      </c>
      <c r="U39" s="8">
        <f t="shared" si="4"/>
        <v>3.4731791159204972</v>
      </c>
      <c r="V39" s="8">
        <f t="shared" si="5"/>
        <v>4.4062320348102677</v>
      </c>
      <c r="W39" s="8">
        <f t="shared" si="6"/>
        <v>3.1433365395648072</v>
      </c>
      <c r="X39" s="8">
        <f t="shared" si="7"/>
        <v>0.32984257635568998</v>
      </c>
      <c r="AA39" s="8">
        <f t="shared" si="8"/>
        <v>1.2241318763357376</v>
      </c>
      <c r="AB39" s="8">
        <f t="shared" si="9"/>
        <v>9.529808353713408</v>
      </c>
      <c r="AE39" s="15">
        <f t="shared" si="10"/>
        <v>7.8360519515820989E-5</v>
      </c>
      <c r="AF39" s="15">
        <f t="shared" si="11"/>
        <v>6.1264976871745674E-5</v>
      </c>
      <c r="AG39" s="15">
        <f t="shared" si="12"/>
        <v>3.800069721694805E-4</v>
      </c>
      <c r="AH39" s="15">
        <f t="shared" si="13"/>
        <v>9.3193924534583882E-4</v>
      </c>
      <c r="AI39" s="15">
        <f t="shared" si="14"/>
        <v>1.6511224479133207E-3</v>
      </c>
      <c r="AJ39" s="15">
        <f t="shared" si="15"/>
        <v>2.3030717147382142E-3</v>
      </c>
      <c r="AK39" s="15">
        <f t="shared" si="16"/>
        <v>6.3907734170532225E-3</v>
      </c>
      <c r="AN39" s="14">
        <f t="shared" si="17"/>
        <v>0.86430338175163457</v>
      </c>
      <c r="AO39" s="14">
        <f t="shared" si="18"/>
        <v>0.65349575106886881</v>
      </c>
      <c r="AP39" s="14">
        <f t="shared" si="19"/>
        <v>5.9680203553466242</v>
      </c>
      <c r="AQ39" s="14">
        <f t="shared" si="20"/>
        <v>2.9822177442233024</v>
      </c>
      <c r="AR39" s="14">
        <f t="shared" si="21"/>
        <v>37.622325029833696</v>
      </c>
      <c r="AS39" s="14">
        <f t="shared" si="22"/>
        <v>30.733882318668723</v>
      </c>
      <c r="AT39" s="14">
        <f t="shared" si="23"/>
        <v>21.175755419107151</v>
      </c>
      <c r="AU39" s="14">
        <f t="shared" si="24"/>
        <v>100.00000000000001</v>
      </c>
    </row>
    <row r="40" spans="1:47">
      <c r="B40" s="8"/>
      <c r="C40" s="8"/>
      <c r="D40" s="8"/>
      <c r="E40" s="8"/>
      <c r="F40" s="41"/>
      <c r="G40" s="32"/>
      <c r="H40" s="8"/>
      <c r="I40" s="8"/>
      <c r="J40" s="8"/>
      <c r="K40" s="8"/>
      <c r="L40" s="8"/>
      <c r="M40" s="8"/>
      <c r="N40" s="8"/>
      <c r="O40" s="8"/>
      <c r="P40" s="8"/>
      <c r="R40" s="8"/>
      <c r="S40" s="8"/>
      <c r="T40" s="8"/>
      <c r="U40" s="8"/>
      <c r="W40" s="8"/>
      <c r="X40" s="8"/>
      <c r="AE40" s="15"/>
      <c r="AF40" s="15"/>
      <c r="AG40" s="15"/>
      <c r="AH40" s="15"/>
      <c r="AI40" s="15"/>
      <c r="AJ40" s="15"/>
      <c r="AK40" s="15"/>
      <c r="AN40" s="14"/>
      <c r="AO40" s="14"/>
      <c r="AP40" s="14"/>
      <c r="AQ40" s="14"/>
      <c r="AR40" s="14"/>
      <c r="AS40" s="14"/>
      <c r="AT40" s="14"/>
      <c r="AU40" s="14"/>
    </row>
    <row r="41" spans="1:47">
      <c r="B41" s="21"/>
      <c r="C41" s="21"/>
      <c r="D41" s="21"/>
      <c r="E41" s="21"/>
      <c r="F41" s="20"/>
      <c r="R41" s="8"/>
      <c r="S41" s="8"/>
      <c r="T41" s="8"/>
      <c r="U41" s="8"/>
      <c r="W41" s="8"/>
      <c r="X41" s="8"/>
      <c r="AE41" s="15"/>
      <c r="AF41" s="15"/>
      <c r="AG41" s="15"/>
      <c r="AH41" s="15"/>
      <c r="AI41" s="15"/>
      <c r="AJ41" s="15"/>
      <c r="AK41" s="15"/>
      <c r="AN41" s="14"/>
      <c r="AO41" s="14"/>
      <c r="AP41" s="14"/>
      <c r="AQ41" s="14"/>
      <c r="AR41" s="14"/>
      <c r="AS41" s="14"/>
      <c r="AT41" s="14"/>
      <c r="AU41" s="14"/>
    </row>
    <row r="42" spans="1:47">
      <c r="A42" s="24" t="s">
        <v>226</v>
      </c>
      <c r="B42" s="21"/>
      <c r="C42" s="21"/>
      <c r="D42" s="21"/>
      <c r="E42" s="21"/>
      <c r="R42" s="8"/>
      <c r="S42" s="8"/>
      <c r="T42" s="8"/>
      <c r="U42" s="8"/>
      <c r="W42" s="8"/>
      <c r="X42" s="8"/>
      <c r="AE42" s="15"/>
      <c r="AF42" s="15"/>
      <c r="AG42" s="15"/>
      <c r="AH42" s="15"/>
      <c r="AI42" s="15"/>
      <c r="AJ42" s="15"/>
      <c r="AK42" s="15"/>
      <c r="AN42" s="14"/>
      <c r="AO42" s="14"/>
      <c r="AP42" s="14"/>
      <c r="AQ42" s="14"/>
      <c r="AR42" s="14"/>
      <c r="AS42" s="14"/>
      <c r="AT42" s="14"/>
      <c r="AU42" s="14"/>
    </row>
    <row r="43" spans="1:47">
      <c r="A43" s="24" t="s">
        <v>50</v>
      </c>
      <c r="B43" s="8">
        <v>411.65579113400003</v>
      </c>
      <c r="C43" s="8">
        <v>3133.3557911339999</v>
      </c>
      <c r="D43" s="8">
        <v>-1557.5557911339999</v>
      </c>
      <c r="E43" s="8">
        <v>3159.2557911339995</v>
      </c>
      <c r="F43" s="20" t="s">
        <v>284</v>
      </c>
      <c r="G43" s="32" t="s">
        <v>189</v>
      </c>
      <c r="H43" s="8">
        <v>4.2004570097226593E-2</v>
      </c>
      <c r="I43" s="8">
        <v>5.9632065961625562E-2</v>
      </c>
      <c r="J43" s="8">
        <v>0.29217456563651101</v>
      </c>
      <c r="K43" s="8">
        <v>0.25199799446155707</v>
      </c>
      <c r="L43" s="8">
        <v>2.5335185870186341</v>
      </c>
      <c r="M43" s="8">
        <v>1.2323279637172551</v>
      </c>
      <c r="N43" s="8">
        <v>0.84782072883670867</v>
      </c>
      <c r="O43" s="8"/>
      <c r="P43" s="8"/>
      <c r="Q43" s="8">
        <f>L43+M43</f>
        <v>3.7658465507358891</v>
      </c>
      <c r="R43" s="8">
        <f>L43+M43+N43</f>
        <v>4.6136672795725975</v>
      </c>
      <c r="S43" s="8">
        <f t="shared" si="2"/>
        <v>4.0178445451974465</v>
      </c>
      <c r="T43" s="8">
        <f>K43+L43+M43+N43</f>
        <v>4.8656652740341553</v>
      </c>
      <c r="U43" s="8">
        <f>H43+I43+J43+K43+L43+M43</f>
        <v>4.4116557468928095</v>
      </c>
      <c r="V43" s="8">
        <f>H43+I43+J43+K43+L43+M43+N43</f>
        <v>5.2594764757295183</v>
      </c>
      <c r="W43" s="8">
        <f>K43+L43+M43</f>
        <v>4.0178445451974465</v>
      </c>
      <c r="X43" s="8">
        <f>H43+I43+J43</f>
        <v>0.39381120169536316</v>
      </c>
      <c r="AA43" s="8">
        <f>L43/M43</f>
        <v>2.0558801403616642</v>
      </c>
      <c r="AB43" s="8">
        <f>W43/X43</f>
        <v>10.202463840288354</v>
      </c>
      <c r="AE43" s="15">
        <f>H43/486</f>
        <v>8.6429156578655541E-5</v>
      </c>
      <c r="AF43" s="15">
        <f>I43/470</f>
        <v>1.2687673608856502E-4</v>
      </c>
      <c r="AG43" s="15">
        <f>J43/692</f>
        <v>4.2221758039958236E-4</v>
      </c>
      <c r="AH43" s="15">
        <f>K43/141</f>
        <v>1.7872198188762913E-3</v>
      </c>
      <c r="AI43" s="15">
        <f>L43/1004</f>
        <v>2.5234248874687589E-3</v>
      </c>
      <c r="AJ43" s="15">
        <f>M43/588</f>
        <v>2.0957958566619984E-3</v>
      </c>
      <c r="AK43" s="15">
        <f>N43/146</f>
        <v>5.8069912934021143E-3</v>
      </c>
      <c r="AN43" s="14">
        <f t="shared" si="17"/>
        <v>0.79864546007690485</v>
      </c>
      <c r="AO43" s="14">
        <f t="shared" si="18"/>
        <v>1.1338023135345285</v>
      </c>
      <c r="AP43" s="14">
        <f t="shared" si="19"/>
        <v>5.5552024423872872</v>
      </c>
      <c r="AQ43" s="14">
        <f t="shared" si="20"/>
        <v>4.7913132728025669</v>
      </c>
      <c r="AR43" s="14">
        <f t="shared" si="21"/>
        <v>48.170546987135658</v>
      </c>
      <c r="AS43" s="14">
        <f t="shared" si="22"/>
        <v>23.430620317515999</v>
      </c>
      <c r="AT43" s="14">
        <f t="shared" si="23"/>
        <v>16.119869206547051</v>
      </c>
      <c r="AU43" s="14">
        <f t="shared" si="24"/>
        <v>100</v>
      </c>
    </row>
    <row r="44" spans="1:47">
      <c r="A44" s="24" t="s">
        <v>17</v>
      </c>
      <c r="B44" s="6">
        <v>444.42242516159996</v>
      </c>
      <c r="C44" s="8">
        <v>3166.1224251615999</v>
      </c>
      <c r="D44" s="8">
        <v>-1590.3224251616</v>
      </c>
      <c r="E44" s="8">
        <v>3192.0224251615996</v>
      </c>
      <c r="F44" s="20" t="s">
        <v>285</v>
      </c>
      <c r="G44" s="32" t="s">
        <v>191</v>
      </c>
      <c r="H44" s="8">
        <v>6.2239323680375797E-2</v>
      </c>
      <c r="I44" s="8">
        <v>0.14489922527224827</v>
      </c>
      <c r="J44" s="8">
        <v>0.22604526957903651</v>
      </c>
      <c r="K44" s="8">
        <v>0.4683959658028834</v>
      </c>
      <c r="L44" s="8">
        <v>1.6461036876250996</v>
      </c>
      <c r="M44" s="8">
        <v>2.0283945309470384</v>
      </c>
      <c r="N44" s="8">
        <v>0.45474136046970676</v>
      </c>
      <c r="O44" s="8"/>
      <c r="P44" s="8"/>
      <c r="Q44" s="8">
        <f>L44+M44</f>
        <v>3.674498218572138</v>
      </c>
      <c r="R44" s="8">
        <f>L44+M44+N44</f>
        <v>4.1292395790418448</v>
      </c>
      <c r="S44" s="8">
        <f t="shared" si="2"/>
        <v>4.142894184375022</v>
      </c>
      <c r="T44" s="8">
        <f>K44+L44+M44+N44</f>
        <v>4.5976355448447288</v>
      </c>
      <c r="U44" s="8">
        <f>H44+I44+J44+K44+L44+M44</f>
        <v>4.5760780029066819</v>
      </c>
      <c r="V44" s="8">
        <f>H44+I44+J44+K44+L44+M44+N44</f>
        <v>5.0308193633763887</v>
      </c>
      <c r="W44" s="8">
        <f>K44+L44+M44</f>
        <v>4.142894184375022</v>
      </c>
      <c r="X44" s="8">
        <f>H44+I44+J44</f>
        <v>0.43318381853166055</v>
      </c>
      <c r="AA44" s="8">
        <f>L44/M44</f>
        <v>0.81153033224584237</v>
      </c>
      <c r="AB44" s="8">
        <f>W44/X44</f>
        <v>9.5638248871298188</v>
      </c>
      <c r="AE44" s="15">
        <f>H44/486</f>
        <v>1.2806445201723416E-4</v>
      </c>
      <c r="AF44" s="15">
        <f>I44/470</f>
        <v>3.0829622398350698E-4</v>
      </c>
      <c r="AG44" s="15">
        <f>J44/692</f>
        <v>3.266550138425383E-4</v>
      </c>
      <c r="AH44" s="15">
        <f>K44/141</f>
        <v>3.3219572042757686E-3</v>
      </c>
      <c r="AI44" s="15">
        <f>L44/1004</f>
        <v>1.6395455056026889E-3</v>
      </c>
      <c r="AJ44" s="15">
        <f>M44/588</f>
        <v>3.4496505628350991E-3</v>
      </c>
      <c r="AK44" s="15">
        <f>N44/146</f>
        <v>3.1146668525322383E-3</v>
      </c>
      <c r="AN44" s="14">
        <f t="shared" si="17"/>
        <v>1.2371607721292628</v>
      </c>
      <c r="AO44" s="14">
        <f t="shared" si="18"/>
        <v>2.8802311274996857</v>
      </c>
      <c r="AP44" s="14">
        <f t="shared" si="19"/>
        <v>4.4932098183570695</v>
      </c>
      <c r="AQ44" s="14">
        <f t="shared" si="20"/>
        <v>9.3105303921809597</v>
      </c>
      <c r="AR44" s="14">
        <f t="shared" si="21"/>
        <v>32.720389438119916</v>
      </c>
      <c r="AS44" s="14">
        <f t="shared" si="22"/>
        <v>40.319367173336545</v>
      </c>
      <c r="AT44" s="14">
        <f t="shared" si="23"/>
        <v>9.0391112783765557</v>
      </c>
      <c r="AU44" s="14">
        <f t="shared" si="24"/>
        <v>100</v>
      </c>
    </row>
    <row r="45" spans="1:47">
      <c r="A45" s="24" t="s">
        <v>55</v>
      </c>
      <c r="B45" s="8">
        <v>447.24766445919994</v>
      </c>
      <c r="C45" s="8">
        <v>3168.9476644591996</v>
      </c>
      <c r="D45" s="8">
        <v>-1593.1476644591996</v>
      </c>
      <c r="E45" s="8">
        <v>3194.8476644591992</v>
      </c>
      <c r="F45" s="20" t="s">
        <v>286</v>
      </c>
      <c r="G45" s="32" t="s">
        <v>189</v>
      </c>
      <c r="H45" s="8">
        <v>2.5661872366916E-2</v>
      </c>
      <c r="I45" s="8">
        <v>3.4378466849481003E-2</v>
      </c>
      <c r="J45" s="8">
        <v>9.8174232884464155E-2</v>
      </c>
      <c r="K45" s="8">
        <v>0.10795987638249087</v>
      </c>
      <c r="L45" s="8">
        <v>0.94067907237968318</v>
      </c>
      <c r="M45" s="8">
        <v>0.67761620160266234</v>
      </c>
      <c r="N45" s="8">
        <v>0.31599250091269243</v>
      </c>
      <c r="O45" s="8"/>
      <c r="P45" s="8"/>
      <c r="Q45" s="8">
        <f t="shared" si="0"/>
        <v>1.6182952739823455</v>
      </c>
      <c r="R45" s="8">
        <f t="shared" si="1"/>
        <v>1.934287774895038</v>
      </c>
      <c r="S45" s="8">
        <f t="shared" si="2"/>
        <v>1.7262551503648365</v>
      </c>
      <c r="T45" s="8">
        <f t="shared" si="3"/>
        <v>2.0422476512775289</v>
      </c>
      <c r="U45" s="8">
        <f t="shared" si="4"/>
        <v>1.8844697224656974</v>
      </c>
      <c r="V45" s="8">
        <f t="shared" si="5"/>
        <v>2.2004622233783899</v>
      </c>
      <c r="W45" s="8">
        <f t="shared" si="6"/>
        <v>1.7262551503648365</v>
      </c>
      <c r="X45" s="8">
        <f t="shared" si="7"/>
        <v>0.15821457210086115</v>
      </c>
      <c r="AA45" s="8">
        <f t="shared" si="8"/>
        <v>1.3882180947781919</v>
      </c>
      <c r="AB45" s="8">
        <f t="shared" si="9"/>
        <v>10.910848017617212</v>
      </c>
      <c r="AE45" s="15">
        <f t="shared" si="10"/>
        <v>5.2802206516288066E-5</v>
      </c>
      <c r="AF45" s="15">
        <f t="shared" si="11"/>
        <v>7.3145674147831924E-5</v>
      </c>
      <c r="AG45" s="15">
        <f t="shared" si="12"/>
        <v>1.4187027873477479E-4</v>
      </c>
      <c r="AH45" s="15">
        <f t="shared" si="13"/>
        <v>7.6567288214532533E-4</v>
      </c>
      <c r="AI45" s="15">
        <f t="shared" si="14"/>
        <v>9.3693134699171629E-4</v>
      </c>
      <c r="AJ45" s="15">
        <f t="shared" si="15"/>
        <v>1.1524085061269769E-3</v>
      </c>
      <c r="AK45" s="15">
        <f t="shared" si="16"/>
        <v>2.1643321980321399E-3</v>
      </c>
      <c r="AN45" s="14">
        <f t="shared" si="17"/>
        <v>1.1662037227577162</v>
      </c>
      <c r="AO45" s="14">
        <f t="shared" si="18"/>
        <v>1.5623293362746045</v>
      </c>
      <c r="AP45" s="14">
        <f t="shared" si="19"/>
        <v>4.4615277572789385</v>
      </c>
      <c r="AQ45" s="14">
        <f t="shared" si="20"/>
        <v>4.906236300514129</v>
      </c>
      <c r="AR45" s="14">
        <f t="shared" si="21"/>
        <v>42.749157989881319</v>
      </c>
      <c r="AS45" s="14">
        <f t="shared" si="22"/>
        <v>30.794266513801446</v>
      </c>
      <c r="AT45" s="14">
        <f t="shared" si="23"/>
        <v>14.360278379491843</v>
      </c>
      <c r="AU45" s="14">
        <f t="shared" si="24"/>
        <v>100</v>
      </c>
    </row>
    <row r="46" spans="1:47">
      <c r="A46" s="24" t="s">
        <v>44</v>
      </c>
      <c r="B46" s="8">
        <v>499.13456607014996</v>
      </c>
      <c r="C46" s="8">
        <v>3220.8345660701498</v>
      </c>
      <c r="D46" s="8">
        <v>-1645.0345660701498</v>
      </c>
      <c r="E46" s="8">
        <v>3246.7345660701494</v>
      </c>
      <c r="F46" s="20" t="s">
        <v>284</v>
      </c>
      <c r="G46" s="32" t="s">
        <v>190</v>
      </c>
      <c r="H46" s="8">
        <v>2.1748572224929898E-2</v>
      </c>
      <c r="I46" s="8">
        <v>4.0555650802502459E-2</v>
      </c>
      <c r="J46" s="8">
        <v>0.24934146673346286</v>
      </c>
      <c r="K46" s="8">
        <v>0.208294385018233</v>
      </c>
      <c r="L46" s="8">
        <v>1.5296831425060078</v>
      </c>
      <c r="M46" s="8">
        <v>0.85612195615356601</v>
      </c>
      <c r="N46" s="8">
        <v>0.4210274571240929</v>
      </c>
      <c r="O46" s="8"/>
      <c r="P46" s="8"/>
      <c r="Q46" s="8">
        <f>L46+M46</f>
        <v>2.3858050986595738</v>
      </c>
      <c r="R46" s="8">
        <f>L46+M46+N46</f>
        <v>2.8068325557836666</v>
      </c>
      <c r="S46" s="8">
        <f t="shared" si="2"/>
        <v>2.5940994836778071</v>
      </c>
      <c r="T46" s="8">
        <f>K46+L46+M46+N46</f>
        <v>3.0151269408018999</v>
      </c>
      <c r="U46" s="8">
        <f>H46+I46+J46+K46+L46+M46</f>
        <v>2.9057451734387021</v>
      </c>
      <c r="V46" s="8">
        <f>H46+I46+J46+K46+L46+M46+N46</f>
        <v>3.3267726305627949</v>
      </c>
      <c r="W46" s="8">
        <f>K46+L46+M46</f>
        <v>2.5940994836778071</v>
      </c>
      <c r="X46" s="8">
        <f>H46+I46+J46</f>
        <v>0.31164568976089524</v>
      </c>
      <c r="AA46" s="8">
        <f>L46/M46</f>
        <v>1.7867584536421146</v>
      </c>
      <c r="AB46" s="8">
        <f>W46/X46</f>
        <v>8.3238740945465501</v>
      </c>
      <c r="AE46" s="15">
        <f>H46/486</f>
        <v>4.4750148610966872E-5</v>
      </c>
      <c r="AF46" s="15">
        <f>I46/470</f>
        <v>8.6288618728728637E-5</v>
      </c>
      <c r="AG46" s="15">
        <f>J46/692</f>
        <v>3.6032003863217175E-4</v>
      </c>
      <c r="AH46" s="15">
        <f>K46/141</f>
        <v>1.4772651419732836E-3</v>
      </c>
      <c r="AI46" s="15">
        <f>L46/1004</f>
        <v>1.5235887873565814E-3</v>
      </c>
      <c r="AJ46" s="15">
        <f>M46/588</f>
        <v>1.455989721349602E-3</v>
      </c>
      <c r="AK46" s="15">
        <f>N46/146</f>
        <v>2.8837497063294035E-3</v>
      </c>
      <c r="AN46" s="14">
        <f t="shared" si="17"/>
        <v>0.65374387251859345</v>
      </c>
      <c r="AO46" s="14">
        <f t="shared" si="18"/>
        <v>1.2190689087051194</v>
      </c>
      <c r="AP46" s="14">
        <f t="shared" si="19"/>
        <v>7.4949957337866344</v>
      </c>
      <c r="AQ46" s="14">
        <f t="shared" si="20"/>
        <v>6.2611548232857608</v>
      </c>
      <c r="AR46" s="14">
        <f t="shared" si="21"/>
        <v>45.980994566714017</v>
      </c>
      <c r="AS46" s="14">
        <f t="shared" si="22"/>
        <v>25.734309230767437</v>
      </c>
      <c r="AT46" s="14">
        <f t="shared" si="23"/>
        <v>12.655732864222436</v>
      </c>
      <c r="AU46" s="14">
        <f t="shared" si="24"/>
        <v>100.00000000000001</v>
      </c>
    </row>
    <row r="47" spans="1:47">
      <c r="A47" s="24" t="s">
        <v>41</v>
      </c>
      <c r="B47" s="8" t="s">
        <v>265</v>
      </c>
      <c r="C47" s="8" t="s">
        <v>265</v>
      </c>
      <c r="D47" s="8" t="s">
        <v>265</v>
      </c>
      <c r="E47" s="8" t="s">
        <v>265</v>
      </c>
      <c r="F47" s="20" t="s">
        <v>287</v>
      </c>
      <c r="G47" s="32" t="s">
        <v>190</v>
      </c>
      <c r="H47" s="8">
        <v>4.2201679275462041E-2</v>
      </c>
      <c r="I47" s="8">
        <v>7.6417831908272393E-2</v>
      </c>
      <c r="J47" s="8">
        <v>0.44522300738744325</v>
      </c>
      <c r="K47" s="8">
        <v>0.45782672965172033</v>
      </c>
      <c r="L47" s="8">
        <v>2.8832138508116913</v>
      </c>
      <c r="M47" s="8">
        <v>1.6409849943340085</v>
      </c>
      <c r="N47" s="8">
        <v>0.4566582715546304</v>
      </c>
      <c r="O47" s="8"/>
      <c r="P47" s="8"/>
      <c r="Q47" s="8">
        <f t="shared" si="0"/>
        <v>4.5241988451456994</v>
      </c>
      <c r="R47" s="8">
        <f t="shared" si="1"/>
        <v>4.9808571167003297</v>
      </c>
      <c r="S47" s="8">
        <f t="shared" si="2"/>
        <v>4.9820255747974205</v>
      </c>
      <c r="T47" s="8">
        <f t="shared" si="3"/>
        <v>5.4386838463520508</v>
      </c>
      <c r="U47" s="8">
        <f t="shared" si="4"/>
        <v>5.5458680933685978</v>
      </c>
      <c r="V47" s="8">
        <f t="shared" si="5"/>
        <v>6.0025263649232281</v>
      </c>
      <c r="W47" s="8">
        <f t="shared" si="6"/>
        <v>4.9820255747974205</v>
      </c>
      <c r="X47" s="8">
        <f t="shared" si="7"/>
        <v>0.56384251857117773</v>
      </c>
      <c r="AA47" s="8">
        <f t="shared" si="8"/>
        <v>1.7570019596564561</v>
      </c>
      <c r="AB47" s="8">
        <f t="shared" si="9"/>
        <v>8.8358458447267747</v>
      </c>
      <c r="AE47" s="15">
        <f t="shared" si="10"/>
        <v>8.6834731019469217E-5</v>
      </c>
      <c r="AF47" s="15">
        <f t="shared" si="11"/>
        <v>1.6259113171972848E-4</v>
      </c>
      <c r="AG47" s="15">
        <f t="shared" si="12"/>
        <v>6.4338584882578506E-4</v>
      </c>
      <c r="AH47" s="15">
        <f t="shared" si="13"/>
        <v>3.2469980826363145E-3</v>
      </c>
      <c r="AI47" s="15">
        <f t="shared" si="14"/>
        <v>2.8717269430395334E-3</v>
      </c>
      <c r="AJ47" s="15">
        <f t="shared" si="15"/>
        <v>2.7907908066904905E-3</v>
      </c>
      <c r="AK47" s="15">
        <f t="shared" si="16"/>
        <v>3.1277963805111672E-3</v>
      </c>
      <c r="AN47" s="14">
        <f t="shared" si="17"/>
        <v>0.70306528801063917</v>
      </c>
      <c r="AO47" s="14">
        <f t="shared" si="18"/>
        <v>1.2730944815974961</v>
      </c>
      <c r="AP47" s="14">
        <f t="shared" si="19"/>
        <v>7.4172603387330165</v>
      </c>
      <c r="AQ47" s="14">
        <f t="shared" si="20"/>
        <v>7.6272339648036835</v>
      </c>
      <c r="AR47" s="14">
        <f t="shared" si="21"/>
        <v>48.033339222968451</v>
      </c>
      <c r="AS47" s="14">
        <f t="shared" si="22"/>
        <v>27.338238844286966</v>
      </c>
      <c r="AT47" s="14">
        <f t="shared" si="23"/>
        <v>7.6077678595997478</v>
      </c>
      <c r="AU47" s="14">
        <f t="shared" si="24"/>
        <v>99.999999999999986</v>
      </c>
    </row>
    <row r="48" spans="1:47">
      <c r="F48" s="20"/>
    </row>
    <row r="51" spans="6:6">
      <c r="F51" s="20"/>
    </row>
    <row r="66" spans="6:6">
      <c r="F66" s="20"/>
    </row>
  </sheetData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74"/>
  <sheetViews>
    <sheetView zoomScaleNormal="100" workbookViewId="0">
      <pane xSplit="1" topLeftCell="B1" activePane="topRight" state="frozen"/>
      <selection pane="topRight" activeCell="AN3" sqref="AN3"/>
    </sheetView>
  </sheetViews>
  <sheetFormatPr defaultRowHeight="12"/>
  <cols>
    <col min="1" max="1" width="8.28515625" style="1" bestFit="1" customWidth="1"/>
    <col min="2" max="2" width="10" style="2" customWidth="1"/>
    <col min="3" max="5" width="10" style="32" customWidth="1"/>
    <col min="6" max="6" width="9.7109375" style="12" customWidth="1"/>
    <col min="7" max="7" width="9.140625" style="12"/>
    <col min="8" max="8" width="10.7109375" style="2" customWidth="1"/>
    <col min="9" max="17" width="9.7109375" style="12" customWidth="1"/>
    <col min="18" max="18" width="9.7109375" style="8" customWidth="1"/>
    <col min="19" max="21" width="9.7109375" style="12" customWidth="1"/>
    <col min="22" max="22" width="9.7109375" style="8" customWidth="1"/>
    <col min="23" max="24" width="9.7109375" style="12" customWidth="1"/>
    <col min="25" max="25" width="9.7109375" style="8" customWidth="1"/>
    <col min="26" max="26" width="9.7109375" style="11" customWidth="1"/>
    <col min="27" max="27" width="9.7109375" style="12" customWidth="1"/>
    <col min="28" max="28" width="10.85546875" style="12" bestFit="1" customWidth="1"/>
    <col min="29" max="38" width="9.140625" style="11"/>
    <col min="39" max="39" width="10" style="11" bestFit="1" customWidth="1"/>
    <col min="40" max="46" width="9.140625" style="11"/>
    <col min="47" max="47" width="9.140625" style="12"/>
    <col min="48" max="16384" width="9.140625" style="11"/>
  </cols>
  <sheetData>
    <row r="1" spans="1:189" s="1" customFormat="1">
      <c r="A1" s="1" t="s">
        <v>122</v>
      </c>
      <c r="B1" s="32" t="s">
        <v>260</v>
      </c>
      <c r="C1" s="32" t="s">
        <v>260</v>
      </c>
      <c r="D1" s="32" t="s">
        <v>260</v>
      </c>
      <c r="E1" s="32" t="s">
        <v>260</v>
      </c>
      <c r="F1" s="2" t="s">
        <v>98</v>
      </c>
      <c r="G1" s="2" t="s">
        <v>27</v>
      </c>
      <c r="H1" s="43" t="s">
        <v>123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4</v>
      </c>
      <c r="N1" s="3" t="s">
        <v>5</v>
      </c>
      <c r="O1" s="3" t="s">
        <v>6</v>
      </c>
      <c r="P1" s="3"/>
      <c r="Q1" s="3" t="s">
        <v>125</v>
      </c>
      <c r="R1" s="3" t="s">
        <v>170</v>
      </c>
      <c r="S1" s="3" t="s">
        <v>57</v>
      </c>
      <c r="T1" s="3" t="s">
        <v>129</v>
      </c>
      <c r="U1" s="3" t="s">
        <v>61</v>
      </c>
      <c r="V1" s="3" t="s">
        <v>128</v>
      </c>
      <c r="W1" s="3" t="s">
        <v>95</v>
      </c>
      <c r="X1" s="3" t="s">
        <v>96</v>
      </c>
      <c r="Y1" s="3"/>
      <c r="Z1" s="1" t="s">
        <v>126</v>
      </c>
      <c r="AA1" s="2" t="s">
        <v>62</v>
      </c>
      <c r="AB1" s="3" t="s">
        <v>97</v>
      </c>
      <c r="AD1" s="1" t="s">
        <v>213</v>
      </c>
      <c r="AE1" s="2" t="s">
        <v>0</v>
      </c>
      <c r="AF1" s="2" t="s">
        <v>1</v>
      </c>
      <c r="AG1" s="2" t="s">
        <v>2</v>
      </c>
      <c r="AH1" s="2" t="s">
        <v>3</v>
      </c>
      <c r="AI1" s="2" t="s">
        <v>4</v>
      </c>
      <c r="AJ1" s="2" t="s">
        <v>5</v>
      </c>
      <c r="AK1" s="2" t="s">
        <v>6</v>
      </c>
      <c r="AM1" s="1" t="s">
        <v>273</v>
      </c>
      <c r="AN1" s="33" t="s">
        <v>0</v>
      </c>
      <c r="AO1" s="33" t="s">
        <v>1</v>
      </c>
      <c r="AP1" s="33" t="s">
        <v>2</v>
      </c>
      <c r="AQ1" s="33" t="s">
        <v>3</v>
      </c>
      <c r="AR1" s="33" t="s">
        <v>4</v>
      </c>
      <c r="AS1" s="33" t="s">
        <v>5</v>
      </c>
      <c r="AT1" s="33" t="s">
        <v>6</v>
      </c>
      <c r="AU1" s="33" t="s">
        <v>276</v>
      </c>
    </row>
    <row r="2" spans="1:189" s="1" customFormat="1">
      <c r="B2" s="2" t="s">
        <v>272</v>
      </c>
      <c r="C2" s="32" t="s">
        <v>271</v>
      </c>
      <c r="D2" s="32" t="s">
        <v>263</v>
      </c>
      <c r="E2" s="32" t="s">
        <v>264</v>
      </c>
      <c r="F2" s="2" t="s">
        <v>169</v>
      </c>
      <c r="G2" s="2" t="s">
        <v>232</v>
      </c>
      <c r="H2" s="43"/>
      <c r="I2" s="3" t="s">
        <v>124</v>
      </c>
      <c r="J2" s="3" t="s">
        <v>124</v>
      </c>
      <c r="K2" s="3" t="s">
        <v>124</v>
      </c>
      <c r="L2" s="3" t="s">
        <v>124</v>
      </c>
      <c r="M2" s="3" t="s">
        <v>124</v>
      </c>
      <c r="N2" s="3" t="s">
        <v>124</v>
      </c>
      <c r="O2" s="3" t="s">
        <v>124</v>
      </c>
      <c r="P2" s="3"/>
      <c r="Q2" s="3"/>
      <c r="R2" s="3" t="s">
        <v>124</v>
      </c>
      <c r="S2" s="3" t="s">
        <v>124</v>
      </c>
      <c r="T2" s="3" t="s">
        <v>124</v>
      </c>
      <c r="U2" s="3" t="s">
        <v>124</v>
      </c>
      <c r="V2" s="3" t="s">
        <v>124</v>
      </c>
      <c r="W2" s="3" t="s">
        <v>124</v>
      </c>
      <c r="X2" s="3" t="s">
        <v>124</v>
      </c>
      <c r="Y2" s="3"/>
      <c r="AA2" s="3" t="s">
        <v>127</v>
      </c>
      <c r="AB2" s="3" t="s">
        <v>127</v>
      </c>
      <c r="AE2" s="2" t="s">
        <v>127</v>
      </c>
      <c r="AF2" s="2" t="s">
        <v>127</v>
      </c>
      <c r="AG2" s="2" t="s">
        <v>127</v>
      </c>
      <c r="AH2" s="2" t="s">
        <v>127</v>
      </c>
      <c r="AI2" s="2" t="s">
        <v>127</v>
      </c>
      <c r="AJ2" s="2" t="s">
        <v>127</v>
      </c>
      <c r="AK2" s="2" t="s">
        <v>127</v>
      </c>
      <c r="AM2" s="1" t="s">
        <v>274</v>
      </c>
      <c r="AN2" s="33" t="s">
        <v>275</v>
      </c>
      <c r="AO2" s="33" t="s">
        <v>275</v>
      </c>
      <c r="AP2" s="33" t="s">
        <v>275</v>
      </c>
      <c r="AQ2" s="33" t="s">
        <v>275</v>
      </c>
      <c r="AR2" s="33" t="s">
        <v>275</v>
      </c>
      <c r="AS2" s="33" t="s">
        <v>275</v>
      </c>
      <c r="AT2" s="33" t="s">
        <v>275</v>
      </c>
      <c r="AU2" s="33"/>
    </row>
    <row r="3" spans="1:189" s="16" customFormat="1">
      <c r="A3" s="1" t="s">
        <v>63</v>
      </c>
      <c r="B3" s="12">
        <v>27.95</v>
      </c>
      <c r="C3" s="12">
        <v>2749.6499999999996</v>
      </c>
      <c r="D3" s="12">
        <v>-1173.8499999999997</v>
      </c>
      <c r="E3" s="12">
        <v>2747.6099999999997</v>
      </c>
      <c r="F3" s="13" t="s">
        <v>130</v>
      </c>
      <c r="G3" s="12" t="s">
        <v>30</v>
      </c>
      <c r="H3" s="2" t="s">
        <v>193</v>
      </c>
      <c r="I3" s="8">
        <v>0.1778614267676768</v>
      </c>
      <c r="J3" s="8">
        <v>0.81923847853535359</v>
      </c>
      <c r="K3" s="8">
        <v>1.2143087121212122</v>
      </c>
      <c r="L3" s="8">
        <v>3.2532623106060607</v>
      </c>
      <c r="M3" s="8">
        <v>18.900547664141399</v>
      </c>
      <c r="N3" s="8">
        <v>19.578816287878787</v>
      </c>
      <c r="O3" s="8">
        <v>1.5319868213383838</v>
      </c>
      <c r="P3" s="8"/>
      <c r="Q3" s="8"/>
      <c r="R3" s="8">
        <f>M3+N3</f>
        <v>38.479363952020186</v>
      </c>
      <c r="S3" s="8">
        <f t="shared" ref="S3" si="0">O3+N3+M3</f>
        <v>40.011350773358572</v>
      </c>
      <c r="T3" s="8">
        <f t="shared" ref="T3" si="1">L3+M3+N3+O3</f>
        <v>43.264613083964633</v>
      </c>
      <c r="U3" s="8">
        <f t="shared" ref="U3" si="2">I3+J3+K3+L3+M3+N3</f>
        <v>43.944034880050488</v>
      </c>
      <c r="V3" s="8">
        <f t="shared" ref="V3" si="3">I3+J3+K3+L3+M3+N3+O3</f>
        <v>45.476021701388873</v>
      </c>
      <c r="W3" s="8">
        <f>M3+N3+L3</f>
        <v>41.732626262626248</v>
      </c>
      <c r="X3" s="8">
        <f>I3+J3+K3</f>
        <v>2.2114086174242424</v>
      </c>
      <c r="Y3" s="8"/>
      <c r="Z3" s="11"/>
      <c r="AA3" s="8">
        <f>M3/N3</f>
        <v>0.96535701577846134</v>
      </c>
      <c r="AB3" s="14">
        <f>W3/X3</f>
        <v>18.871512905305892</v>
      </c>
      <c r="AC3" s="11"/>
      <c r="AD3" s="11"/>
      <c r="AE3" s="15">
        <f>I3/486</f>
        <v>3.6597001392526092E-4</v>
      </c>
      <c r="AF3" s="15">
        <f>J3/470</f>
        <v>1.7430605926284119E-3</v>
      </c>
      <c r="AG3" s="15">
        <f>K3/692</f>
        <v>1.7547813758977055E-3</v>
      </c>
      <c r="AH3" s="15">
        <f>L3/141</f>
        <v>2.3072782344723836E-2</v>
      </c>
      <c r="AI3" s="15">
        <f>M3/1004</f>
        <v>1.8825246677431674E-2</v>
      </c>
      <c r="AJ3" s="15">
        <f>N3/588</f>
        <v>3.3297306612038752E-2</v>
      </c>
      <c r="AK3" s="15">
        <f>O3/146</f>
        <v>1.0493060420125917E-2</v>
      </c>
      <c r="AL3" s="11"/>
      <c r="AM3" s="11"/>
      <c r="AN3" s="8">
        <f>100*I3/V3</f>
        <v>0.39111034807656625</v>
      </c>
      <c r="AO3" s="8">
        <f>100*J3/V3</f>
        <v>1.8014734972086035</v>
      </c>
      <c r="AP3" s="8">
        <f>100*K3/V3</f>
        <v>2.6702175491400255</v>
      </c>
      <c r="AQ3" s="8">
        <f>100*L3/V3</f>
        <v>7.1537970756723066</v>
      </c>
      <c r="AR3" s="8">
        <f>100*M3/V3</f>
        <v>41.561567958272306</v>
      </c>
      <c r="AS3" s="8">
        <f>100*N3/V3</f>
        <v>43.053054236889935</v>
      </c>
      <c r="AT3" s="8">
        <f>100*O3/V3</f>
        <v>3.368779334740259</v>
      </c>
      <c r="AU3" s="14">
        <f>AN3+AO3+AP3+AQ3+AR3+AS3+AT3</f>
        <v>100</v>
      </c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</row>
    <row r="4" spans="1:189" s="16" customFormat="1">
      <c r="A4" s="1" t="s">
        <v>64</v>
      </c>
      <c r="B4" s="12">
        <v>36.840000000000003</v>
      </c>
      <c r="C4" s="12">
        <v>2758.54</v>
      </c>
      <c r="D4" s="12">
        <v>-1182.74</v>
      </c>
      <c r="E4" s="12">
        <v>2756.5</v>
      </c>
      <c r="F4" s="13" t="s">
        <v>130</v>
      </c>
      <c r="G4" s="12" t="s">
        <v>291</v>
      </c>
      <c r="H4" s="2" t="s">
        <v>193</v>
      </c>
      <c r="I4" s="8">
        <v>0.3333401268115942</v>
      </c>
      <c r="J4" s="8">
        <v>0.46292534722222234</v>
      </c>
      <c r="K4" s="8">
        <v>1.2963903985507299</v>
      </c>
      <c r="L4" s="8">
        <v>1.7203132548309181</v>
      </c>
      <c r="M4" s="8">
        <v>10.341961805555558</v>
      </c>
      <c r="N4" s="8">
        <v>11.306154891304351</v>
      </c>
      <c r="O4" s="8">
        <v>0.85165085295893717</v>
      </c>
      <c r="P4" s="8"/>
      <c r="Q4" s="8"/>
      <c r="R4" s="8">
        <f t="shared" ref="R4:R67" si="4">M4+N4</f>
        <v>21.648116696859908</v>
      </c>
      <c r="S4" s="8">
        <f t="shared" ref="S4:S67" si="5">O4+N4+M4</f>
        <v>22.499767549818845</v>
      </c>
      <c r="T4" s="8">
        <f t="shared" ref="T4:T67" si="6">L4+M4+N4+O4</f>
        <v>24.220080804649765</v>
      </c>
      <c r="U4" s="8">
        <f t="shared" ref="U4:U67" si="7">I4+J4+K4+L4+M4+N4</f>
        <v>25.461085824275372</v>
      </c>
      <c r="V4" s="8">
        <f t="shared" ref="V4:V67" si="8">I4+J4+K4+L4+M4+N4+O4</f>
        <v>26.312736677234309</v>
      </c>
      <c r="W4" s="8">
        <f t="shared" ref="W4:W67" si="9">M4+N4+L4</f>
        <v>23.368429951690828</v>
      </c>
      <c r="X4" s="8">
        <f t="shared" ref="X4:X67" si="10">I4+J4+K4</f>
        <v>2.0926558725845466</v>
      </c>
      <c r="Y4" s="8"/>
      <c r="Z4" s="11"/>
      <c r="AA4" s="8">
        <f t="shared" ref="AA4:AA67" si="11">M4/N4</f>
        <v>0.914719628820019</v>
      </c>
      <c r="AB4" s="14">
        <f t="shared" ref="AB4:AB67" si="12">W4/X4</f>
        <v>11.166876626891126</v>
      </c>
      <c r="AC4" s="11"/>
      <c r="AD4" s="11"/>
      <c r="AE4" s="15">
        <f t="shared" ref="AE4:AE67" si="13">I4/486</f>
        <v>6.8588503459175764E-4</v>
      </c>
      <c r="AF4" s="15">
        <f t="shared" ref="AF4:AF67" si="14">J4/470</f>
        <v>9.8494754728132411E-4</v>
      </c>
      <c r="AG4" s="15">
        <f t="shared" ref="AG4:AG67" si="15">K4/692</f>
        <v>1.8733965296975866E-3</v>
      </c>
      <c r="AH4" s="15">
        <f t="shared" ref="AH4:AH67" si="16">L4/141</f>
        <v>1.2200803225751192E-2</v>
      </c>
      <c r="AI4" s="15">
        <f t="shared" ref="AI4:AI67" si="17">M4/1004</f>
        <v>1.0300758770473662E-2</v>
      </c>
      <c r="AJ4" s="15">
        <f t="shared" ref="AJ4:AJ67" si="18">N4/588</f>
        <v>1.9228154577048216E-2</v>
      </c>
      <c r="AK4" s="15">
        <f t="shared" ref="AK4:AK67" si="19">O4/146</f>
        <v>5.8332250202666929E-3</v>
      </c>
      <c r="AL4" s="11"/>
      <c r="AM4" s="11"/>
      <c r="AN4" s="8">
        <f t="shared" ref="AN4:AN67" si="20">100*I4/V4</f>
        <v>1.2668394431963399</v>
      </c>
      <c r="AO4" s="8">
        <f t="shared" ref="AO4:AO67" si="21">100*J4/V4</f>
        <v>1.7593204116345063</v>
      </c>
      <c r="AP4" s="8">
        <f t="shared" ref="AP4:AP67" si="22">100*K4/V4</f>
        <v>4.9268550605470178</v>
      </c>
      <c r="AQ4" s="8">
        <f t="shared" ref="AQ4:AQ67" si="23">100*L4/V4</f>
        <v>6.5379488113804882</v>
      </c>
      <c r="AR4" s="8">
        <f t="shared" ref="AR4:AR67" si="24">100*M4/V4</f>
        <v>39.304014373021829</v>
      </c>
      <c r="AS4" s="8">
        <f t="shared" ref="AS4:AS67" si="25">100*N4/V4</f>
        <v>42.96837318744727</v>
      </c>
      <c r="AT4" s="8">
        <f t="shared" ref="AT4:AT67" si="26">100*O4/V4</f>
        <v>3.2366487127725585</v>
      </c>
      <c r="AU4" s="14">
        <f t="shared" ref="AU4:AU67" si="27">AN4+AO4+AP4+AQ4+AR4+AS4+AT4</f>
        <v>100.00000000000001</v>
      </c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</row>
    <row r="5" spans="1:189" s="16" customFormat="1">
      <c r="A5" s="1" t="s">
        <v>65</v>
      </c>
      <c r="B5" s="12">
        <v>44.55</v>
      </c>
      <c r="C5" s="12">
        <v>2766.25</v>
      </c>
      <c r="D5" s="12">
        <v>-1190.45</v>
      </c>
      <c r="E5" s="12">
        <v>2764.21</v>
      </c>
      <c r="F5" s="13" t="s">
        <v>130</v>
      </c>
      <c r="G5" s="12" t="s">
        <v>30</v>
      </c>
      <c r="H5" s="2" t="s">
        <v>193</v>
      </c>
      <c r="I5" s="8">
        <v>0.30342420267489711</v>
      </c>
      <c r="J5" s="8">
        <v>0.64075374228395066</v>
      </c>
      <c r="K5" s="8">
        <v>1.8248134946949599</v>
      </c>
      <c r="L5" s="8">
        <v>2.5548057471792984</v>
      </c>
      <c r="M5" s="8">
        <v>8.7448899352207299</v>
      </c>
      <c r="N5" s="8">
        <v>5.3511204718164374</v>
      </c>
      <c r="O5" s="8">
        <v>1.199668905336257</v>
      </c>
      <c r="P5" s="8"/>
      <c r="Q5" s="8"/>
      <c r="R5" s="8">
        <f t="shared" si="4"/>
        <v>14.096010407037166</v>
      </c>
      <c r="S5" s="8">
        <f t="shared" si="5"/>
        <v>15.295679312373425</v>
      </c>
      <c r="T5" s="8">
        <f t="shared" si="6"/>
        <v>17.850485059552721</v>
      </c>
      <c r="U5" s="8">
        <f t="shared" si="7"/>
        <v>19.419807593870274</v>
      </c>
      <c r="V5" s="8">
        <f t="shared" si="8"/>
        <v>20.619476499206531</v>
      </c>
      <c r="W5" s="8">
        <f t="shared" si="9"/>
        <v>16.650816154216464</v>
      </c>
      <c r="X5" s="8">
        <f t="shared" si="10"/>
        <v>2.7689914396538078</v>
      </c>
      <c r="Y5" s="8"/>
      <c r="Z5" s="11"/>
      <c r="AA5" s="8">
        <f t="shared" si="11"/>
        <v>1.6342166059012828</v>
      </c>
      <c r="AB5" s="14">
        <f t="shared" si="12"/>
        <v>6.0133144204657514</v>
      </c>
      <c r="AC5" s="11"/>
      <c r="AD5" s="11"/>
      <c r="AE5" s="15">
        <f t="shared" si="13"/>
        <v>6.2432963513353319E-4</v>
      </c>
      <c r="AF5" s="15">
        <f t="shared" si="14"/>
        <v>1.3633058346467035E-3</v>
      </c>
      <c r="AG5" s="15">
        <f t="shared" si="15"/>
        <v>2.6370137206574566E-3</v>
      </c>
      <c r="AH5" s="15">
        <f t="shared" si="16"/>
        <v>1.8119189696307082E-2</v>
      </c>
      <c r="AI5" s="15">
        <f t="shared" si="17"/>
        <v>8.7100497362756282E-3</v>
      </c>
      <c r="AJ5" s="15">
        <f t="shared" si="18"/>
        <v>9.100545020095982E-3</v>
      </c>
      <c r="AK5" s="15">
        <f t="shared" si="19"/>
        <v>8.2169103105223084E-3</v>
      </c>
      <c r="AL5" s="11"/>
      <c r="AM5" s="11"/>
      <c r="AN5" s="8">
        <f t="shared" si="20"/>
        <v>1.4715417371850994</v>
      </c>
      <c r="AO5" s="8">
        <f t="shared" si="21"/>
        <v>3.1075170230854687</v>
      </c>
      <c r="AP5" s="8">
        <f t="shared" si="22"/>
        <v>8.849950651100098</v>
      </c>
      <c r="AQ5" s="8">
        <f t="shared" si="23"/>
        <v>12.39025514191697</v>
      </c>
      <c r="AR5" s="8">
        <f t="shared" si="24"/>
        <v>42.410824229981039</v>
      </c>
      <c r="AS5" s="8">
        <f t="shared" si="25"/>
        <v>25.951776574067519</v>
      </c>
      <c r="AT5" s="8">
        <f t="shared" si="26"/>
        <v>5.8181346426638045</v>
      </c>
      <c r="AU5" s="14">
        <f t="shared" si="27"/>
        <v>100.00000000000001</v>
      </c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</row>
    <row r="6" spans="1:189" s="16" customFormat="1">
      <c r="A6" s="1" t="s">
        <v>99</v>
      </c>
      <c r="B6" s="12">
        <v>55</v>
      </c>
      <c r="C6" s="12">
        <v>2776.7</v>
      </c>
      <c r="D6" s="12">
        <v>-1200.8999999999999</v>
      </c>
      <c r="E6" s="12">
        <v>2774.66</v>
      </c>
      <c r="F6" s="13" t="s">
        <v>130</v>
      </c>
      <c r="G6" s="12" t="s">
        <v>290</v>
      </c>
      <c r="H6" s="2" t="s">
        <v>192</v>
      </c>
      <c r="I6" s="8">
        <v>0.21698468521540784</v>
      </c>
      <c r="J6" s="8">
        <v>0.36842256796257467</v>
      </c>
      <c r="K6" s="8">
        <v>3.0611391311174145</v>
      </c>
      <c r="L6" s="8">
        <v>1.2377642215925118</v>
      </c>
      <c r="M6" s="8">
        <v>4.8913219790565909</v>
      </c>
      <c r="N6" s="8">
        <v>6.988019407444817</v>
      </c>
      <c r="O6" s="8">
        <v>0.57529399592810193</v>
      </c>
      <c r="P6" s="8"/>
      <c r="Q6" s="8"/>
      <c r="R6" s="8">
        <f t="shared" si="4"/>
        <v>11.879341386501409</v>
      </c>
      <c r="S6" s="8">
        <f t="shared" si="5"/>
        <v>12.45463538242951</v>
      </c>
      <c r="T6" s="8">
        <f t="shared" si="6"/>
        <v>13.69239960402202</v>
      </c>
      <c r="U6" s="8">
        <f t="shared" si="7"/>
        <v>16.763651992389317</v>
      </c>
      <c r="V6" s="8">
        <f t="shared" si="8"/>
        <v>17.33894598831742</v>
      </c>
      <c r="W6" s="8">
        <f t="shared" si="9"/>
        <v>13.117105608093921</v>
      </c>
      <c r="X6" s="8">
        <f t="shared" si="10"/>
        <v>3.6465463842953971</v>
      </c>
      <c r="Y6" s="8"/>
      <c r="Z6" s="11"/>
      <c r="AA6" s="8">
        <f t="shared" si="11"/>
        <v>0.69995827055739568</v>
      </c>
      <c r="AB6" s="14">
        <f t="shared" si="12"/>
        <v>3.597131155272133</v>
      </c>
      <c r="AC6" s="11"/>
      <c r="AD6" s="11"/>
      <c r="AE6" s="15">
        <f t="shared" si="13"/>
        <v>4.4647054571071574E-4</v>
      </c>
      <c r="AF6" s="15">
        <f t="shared" si="14"/>
        <v>7.8387780417569076E-4</v>
      </c>
      <c r="AG6" s="15">
        <f t="shared" si="15"/>
        <v>4.4236114611523334E-3</v>
      </c>
      <c r="AH6" s="15">
        <f t="shared" si="16"/>
        <v>8.7784696566844799E-3</v>
      </c>
      <c r="AI6" s="15">
        <f t="shared" si="17"/>
        <v>4.8718346404946124E-3</v>
      </c>
      <c r="AJ6" s="15">
        <f t="shared" si="18"/>
        <v>1.1884386747355131E-2</v>
      </c>
      <c r="AK6" s="15">
        <f t="shared" si="19"/>
        <v>3.9403698351239856E-3</v>
      </c>
      <c r="AL6" s="11"/>
      <c r="AM6" s="11"/>
      <c r="AN6" s="8">
        <f t="shared" si="20"/>
        <v>1.2514295007413203</v>
      </c>
      <c r="AO6" s="8">
        <f t="shared" si="21"/>
        <v>2.1248267813442019</v>
      </c>
      <c r="AP6" s="8">
        <f t="shared" si="22"/>
        <v>17.654701347936253</v>
      </c>
      <c r="AQ6" s="8">
        <f t="shared" si="23"/>
        <v>7.1386358918615276</v>
      </c>
      <c r="AR6" s="8">
        <f t="shared" si="24"/>
        <v>28.210030657874189</v>
      </c>
      <c r="AS6" s="8">
        <f t="shared" si="25"/>
        <v>40.302446366423787</v>
      </c>
      <c r="AT6" s="8">
        <f t="shared" si="26"/>
        <v>3.3179294538187136</v>
      </c>
      <c r="AU6" s="14">
        <f t="shared" si="27"/>
        <v>100</v>
      </c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</row>
    <row r="7" spans="1:189" s="16" customFormat="1">
      <c r="A7" s="1" t="s">
        <v>66</v>
      </c>
      <c r="B7" s="12">
        <v>57.84</v>
      </c>
      <c r="C7" s="12">
        <v>2779.54</v>
      </c>
      <c r="D7" s="12">
        <v>-1203.74</v>
      </c>
      <c r="E7" s="12">
        <v>2777.5</v>
      </c>
      <c r="F7" s="13" t="s">
        <v>130</v>
      </c>
      <c r="G7" s="12" t="s">
        <v>292</v>
      </c>
      <c r="H7" s="2" t="s">
        <v>193</v>
      </c>
      <c r="I7" s="8">
        <v>0.61896219135800001</v>
      </c>
      <c r="J7" s="8">
        <v>0.71477719907407422</v>
      </c>
      <c r="K7" s="8">
        <v>1.4842862654320987</v>
      </c>
      <c r="L7" s="8">
        <v>2.4466685956790122</v>
      </c>
      <c r="M7" s="8">
        <v>13.678998842592595</v>
      </c>
      <c r="N7" s="8">
        <v>16.748344907407407</v>
      </c>
      <c r="O7" s="8">
        <v>2.1706793016975308</v>
      </c>
      <c r="P7" s="8"/>
      <c r="Q7" s="8"/>
      <c r="R7" s="8">
        <f t="shared" si="4"/>
        <v>30.427343750000002</v>
      </c>
      <c r="S7" s="8">
        <f t="shared" si="5"/>
        <v>32.598023051697538</v>
      </c>
      <c r="T7" s="8">
        <f t="shared" si="6"/>
        <v>35.044691647376546</v>
      </c>
      <c r="U7" s="8">
        <f t="shared" si="7"/>
        <v>35.692038001543189</v>
      </c>
      <c r="V7" s="8">
        <f t="shared" si="8"/>
        <v>37.862717303240721</v>
      </c>
      <c r="W7" s="8">
        <f t="shared" si="9"/>
        <v>32.874012345679013</v>
      </c>
      <c r="X7" s="8">
        <f t="shared" si="10"/>
        <v>2.8180256558641732</v>
      </c>
      <c r="Y7" s="8"/>
      <c r="Z7" s="11"/>
      <c r="AA7" s="8">
        <f t="shared" si="11"/>
        <v>0.81673735036007578</v>
      </c>
      <c r="AB7" s="14">
        <f t="shared" si="12"/>
        <v>11.665618542992966</v>
      </c>
      <c r="AC7" s="11"/>
      <c r="AD7" s="11"/>
      <c r="AE7" s="15">
        <f t="shared" si="13"/>
        <v>1.2735847558806585E-3</v>
      </c>
      <c r="AF7" s="15">
        <f t="shared" si="14"/>
        <v>1.5208025512214345E-3</v>
      </c>
      <c r="AG7" s="15">
        <f t="shared" si="15"/>
        <v>2.144922348890316E-3</v>
      </c>
      <c r="AH7" s="15">
        <f t="shared" si="16"/>
        <v>1.735225954382278E-2</v>
      </c>
      <c r="AI7" s="15">
        <f t="shared" si="17"/>
        <v>1.3624500839235653E-2</v>
      </c>
      <c r="AJ7" s="15">
        <f t="shared" si="18"/>
        <v>2.8483579774502395E-2</v>
      </c>
      <c r="AK7" s="15">
        <f t="shared" si="19"/>
        <v>1.4867666449983087E-2</v>
      </c>
      <c r="AL7" s="11"/>
      <c r="AM7" s="11"/>
      <c r="AN7" s="8">
        <f t="shared" si="20"/>
        <v>1.6347537510336645</v>
      </c>
      <c r="AO7" s="8">
        <f t="shared" si="21"/>
        <v>1.887812735017028</v>
      </c>
      <c r="AP7" s="8">
        <f t="shared" si="22"/>
        <v>3.9201789283756892</v>
      </c>
      <c r="AQ7" s="8">
        <f t="shared" si="23"/>
        <v>6.4619466587243553</v>
      </c>
      <c r="AR7" s="8">
        <f t="shared" si="24"/>
        <v>36.127884676205717</v>
      </c>
      <c r="AS7" s="8">
        <f t="shared" si="25"/>
        <v>44.2343975823782</v>
      </c>
      <c r="AT7" s="8">
        <f t="shared" si="26"/>
        <v>5.7330256682653342</v>
      </c>
      <c r="AU7" s="14">
        <f t="shared" si="27"/>
        <v>99.999999999999972</v>
      </c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</row>
    <row r="8" spans="1:189" s="16" customFormat="1">
      <c r="A8" s="1" t="s">
        <v>67</v>
      </c>
      <c r="B8" s="12">
        <v>65.94</v>
      </c>
      <c r="C8" s="12">
        <v>2787.64</v>
      </c>
      <c r="D8" s="12">
        <v>-1211.8399999999999</v>
      </c>
      <c r="E8" s="12">
        <v>2785.6</v>
      </c>
      <c r="F8" s="13" t="s">
        <v>130</v>
      </c>
      <c r="G8" s="12" t="s">
        <v>290</v>
      </c>
      <c r="H8" s="2" t="s">
        <v>193</v>
      </c>
      <c r="I8" s="8">
        <v>0.33406905864197534</v>
      </c>
      <c r="J8" s="8">
        <v>0.60437508267195783</v>
      </c>
      <c r="K8" s="8">
        <v>0.76006927339901476</v>
      </c>
      <c r="L8" s="8">
        <v>2.3720891313202981</v>
      </c>
      <c r="M8" s="8">
        <v>11.617178117288182</v>
      </c>
      <c r="N8" s="8">
        <v>13.004837455732625</v>
      </c>
      <c r="O8" s="8">
        <v>1.6947023222117794</v>
      </c>
      <c r="P8" s="8"/>
      <c r="Q8" s="8"/>
      <c r="R8" s="8">
        <f t="shared" si="4"/>
        <v>24.622015573020807</v>
      </c>
      <c r="S8" s="8">
        <f t="shared" si="5"/>
        <v>26.316717895232586</v>
      </c>
      <c r="T8" s="8">
        <f t="shared" si="6"/>
        <v>28.688807026552883</v>
      </c>
      <c r="U8" s="8">
        <f t="shared" si="7"/>
        <v>28.692618119054053</v>
      </c>
      <c r="V8" s="8">
        <f t="shared" si="8"/>
        <v>30.387320441265832</v>
      </c>
      <c r="W8" s="8">
        <f t="shared" si="9"/>
        <v>26.994104704341105</v>
      </c>
      <c r="X8" s="8">
        <f t="shared" si="10"/>
        <v>1.6985134147129479</v>
      </c>
      <c r="Y8" s="8"/>
      <c r="Z8" s="11"/>
      <c r="AA8" s="8">
        <f t="shared" si="11"/>
        <v>0.89329667954959691</v>
      </c>
      <c r="AB8" s="14">
        <f t="shared" si="12"/>
        <v>15.892782753737132</v>
      </c>
      <c r="AC8" s="11"/>
      <c r="AD8" s="11"/>
      <c r="AE8" s="15">
        <f t="shared" si="13"/>
        <v>6.8738489432505214E-4</v>
      </c>
      <c r="AF8" s="15">
        <f t="shared" si="14"/>
        <v>1.2859044312169316E-3</v>
      </c>
      <c r="AG8" s="15">
        <f t="shared" si="15"/>
        <v>1.0983660020216976E-3</v>
      </c>
      <c r="AH8" s="15">
        <f t="shared" si="16"/>
        <v>1.6823327172484383E-2</v>
      </c>
      <c r="AI8" s="15">
        <f t="shared" si="17"/>
        <v>1.1570894539131656E-2</v>
      </c>
      <c r="AJ8" s="15">
        <f t="shared" si="18"/>
        <v>2.2117070502946642E-2</v>
      </c>
      <c r="AK8" s="15">
        <f t="shared" si="19"/>
        <v>1.1607550152135476E-2</v>
      </c>
      <c r="AL8" s="11"/>
      <c r="AM8" s="11"/>
      <c r="AN8" s="8">
        <f t="shared" si="20"/>
        <v>1.0993699141313928</v>
      </c>
      <c r="AO8" s="8">
        <f t="shared" si="21"/>
        <v>1.9889054839176259</v>
      </c>
      <c r="AP8" s="8">
        <f t="shared" si="22"/>
        <v>2.5012711300692523</v>
      </c>
      <c r="AQ8" s="8">
        <f t="shared" si="23"/>
        <v>7.8061806598090584</v>
      </c>
      <c r="AR8" s="8">
        <f t="shared" si="24"/>
        <v>38.230347225720209</v>
      </c>
      <c r="AS8" s="8">
        <f t="shared" si="25"/>
        <v>42.79692077776005</v>
      </c>
      <c r="AT8" s="8">
        <f t="shared" si="26"/>
        <v>5.5770048085924095</v>
      </c>
      <c r="AU8" s="14">
        <f t="shared" si="27"/>
        <v>99.999999999999986</v>
      </c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</row>
    <row r="9" spans="1:189" s="16" customFormat="1">
      <c r="A9" s="1" t="s">
        <v>68</v>
      </c>
      <c r="B9" s="12">
        <v>77.150000000000006</v>
      </c>
      <c r="C9" s="12">
        <v>2798.85</v>
      </c>
      <c r="D9" s="12">
        <v>-1223.05</v>
      </c>
      <c r="E9" s="12">
        <v>2796.81</v>
      </c>
      <c r="F9" s="13" t="s">
        <v>130</v>
      </c>
      <c r="G9" s="12" t="s">
        <v>291</v>
      </c>
      <c r="H9" s="2" t="s">
        <v>193</v>
      </c>
      <c r="I9" s="8">
        <v>0.77853307821710604</v>
      </c>
      <c r="J9" s="8">
        <v>1.0074585470887554</v>
      </c>
      <c r="K9" s="8">
        <v>10.8695834104994</v>
      </c>
      <c r="L9" s="8">
        <v>11.369867534131814</v>
      </c>
      <c r="M9" s="8">
        <v>17.959261206684133</v>
      </c>
      <c r="N9" s="8">
        <v>14.644461940775436</v>
      </c>
      <c r="O9" s="8">
        <v>1.338353115862573</v>
      </c>
      <c r="P9" s="8"/>
      <c r="Q9" s="8"/>
      <c r="R9" s="8">
        <f t="shared" si="4"/>
        <v>32.603723147459569</v>
      </c>
      <c r="S9" s="8">
        <f t="shared" si="5"/>
        <v>33.942076263322143</v>
      </c>
      <c r="T9" s="8">
        <f t="shared" si="6"/>
        <v>45.311943797453957</v>
      </c>
      <c r="U9" s="8">
        <f t="shared" si="7"/>
        <v>56.629165717396646</v>
      </c>
      <c r="V9" s="8">
        <f t="shared" si="8"/>
        <v>57.96751883325922</v>
      </c>
      <c r="W9" s="8">
        <f t="shared" si="9"/>
        <v>43.973590681591382</v>
      </c>
      <c r="X9" s="8">
        <f t="shared" si="10"/>
        <v>12.655575035805262</v>
      </c>
      <c r="Y9" s="8"/>
      <c r="Z9" s="11"/>
      <c r="AA9" s="8">
        <f t="shared" si="11"/>
        <v>1.2263517279989036</v>
      </c>
      <c r="AB9" s="14">
        <f t="shared" si="12"/>
        <v>3.474641852083443</v>
      </c>
      <c r="AC9" s="11"/>
      <c r="AD9" s="11"/>
      <c r="AE9" s="15">
        <f t="shared" si="13"/>
        <v>1.6019199140269672E-3</v>
      </c>
      <c r="AF9" s="15">
        <f t="shared" si="14"/>
        <v>2.1435288235930965E-3</v>
      </c>
      <c r="AG9" s="15">
        <f t="shared" si="15"/>
        <v>1.570749047760029E-2</v>
      </c>
      <c r="AH9" s="15">
        <f t="shared" si="16"/>
        <v>8.0637358398097964E-2</v>
      </c>
      <c r="AI9" s="15">
        <f t="shared" si="17"/>
        <v>1.7887710365223238E-2</v>
      </c>
      <c r="AJ9" s="15">
        <f t="shared" si="18"/>
        <v>2.490554751832557E-2</v>
      </c>
      <c r="AK9" s="15">
        <f t="shared" si="19"/>
        <v>9.1668021634422805E-3</v>
      </c>
      <c r="AL9" s="11"/>
      <c r="AM9" s="11"/>
      <c r="AN9" s="8">
        <f t="shared" si="20"/>
        <v>1.3430505460420326</v>
      </c>
      <c r="AO9" s="8">
        <f t="shared" si="21"/>
        <v>1.7379707935864246</v>
      </c>
      <c r="AP9" s="8">
        <f t="shared" si="22"/>
        <v>18.751162080552788</v>
      </c>
      <c r="AQ9" s="8">
        <f t="shared" si="23"/>
        <v>19.614204235369623</v>
      </c>
      <c r="AR9" s="8">
        <f t="shared" si="24"/>
        <v>30.9815937755471</v>
      </c>
      <c r="AS9" s="8">
        <f t="shared" si="25"/>
        <v>25.263220223207288</v>
      </c>
      <c r="AT9" s="8">
        <f t="shared" si="26"/>
        <v>2.308798345694735</v>
      </c>
      <c r="AU9" s="14">
        <f t="shared" si="27"/>
        <v>99.999999999999986</v>
      </c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</row>
    <row r="10" spans="1:189" s="16" customFormat="1">
      <c r="A10" s="1" t="s">
        <v>69</v>
      </c>
      <c r="B10" s="12">
        <v>80.349999999999994</v>
      </c>
      <c r="C10" s="12">
        <v>2802.0499999999997</v>
      </c>
      <c r="D10" s="12">
        <v>-1226.2499999999998</v>
      </c>
      <c r="E10" s="12">
        <v>2800.0099999999998</v>
      </c>
      <c r="F10" s="13" t="s">
        <v>130</v>
      </c>
      <c r="G10" s="12" t="s">
        <v>290</v>
      </c>
      <c r="H10" s="2" t="s">
        <v>193</v>
      </c>
      <c r="I10" s="8">
        <v>0.16338951492361969</v>
      </c>
      <c r="J10" s="8">
        <v>0.57283861057341257</v>
      </c>
      <c r="K10" s="8">
        <v>1.65544363256076</v>
      </c>
      <c r="L10" s="8">
        <v>2.6213708638761304</v>
      </c>
      <c r="M10" s="8">
        <v>11.075801891686675</v>
      </c>
      <c r="N10" s="8">
        <v>20.534542058926114</v>
      </c>
      <c r="O10" s="8">
        <v>3.0505977245131604</v>
      </c>
      <c r="P10" s="8"/>
      <c r="Q10" s="8"/>
      <c r="R10" s="8">
        <f t="shared" si="4"/>
        <v>31.610343950612787</v>
      </c>
      <c r="S10" s="8">
        <f t="shared" si="5"/>
        <v>34.660941675125947</v>
      </c>
      <c r="T10" s="8">
        <f t="shared" si="6"/>
        <v>37.282312539002078</v>
      </c>
      <c r="U10" s="8">
        <f t="shared" si="7"/>
        <v>36.623386572546707</v>
      </c>
      <c r="V10" s="8">
        <f t="shared" si="8"/>
        <v>39.673984297059867</v>
      </c>
      <c r="W10" s="8">
        <f t="shared" si="9"/>
        <v>34.231714814488917</v>
      </c>
      <c r="X10" s="8">
        <f t="shared" si="10"/>
        <v>2.3916717580577922</v>
      </c>
      <c r="Y10" s="8"/>
      <c r="Z10" s="11"/>
      <c r="AA10" s="8">
        <f t="shared" si="11"/>
        <v>0.53937418520965552</v>
      </c>
      <c r="AB10" s="14">
        <f t="shared" si="12"/>
        <v>14.312881648227309</v>
      </c>
      <c r="AC10" s="11"/>
      <c r="AD10" s="11"/>
      <c r="AE10" s="15">
        <f t="shared" si="13"/>
        <v>3.3619241753831211E-4</v>
      </c>
      <c r="AF10" s="15">
        <f t="shared" si="14"/>
        <v>1.2188055544115162E-3</v>
      </c>
      <c r="AG10" s="15">
        <f t="shared" si="15"/>
        <v>2.3922595846253758E-3</v>
      </c>
      <c r="AH10" s="15">
        <f t="shared" si="16"/>
        <v>1.8591282722525748E-2</v>
      </c>
      <c r="AI10" s="15">
        <f t="shared" si="17"/>
        <v>1.1031675190922983E-2</v>
      </c>
      <c r="AJ10" s="15">
        <f t="shared" si="18"/>
        <v>3.4922690576404958E-2</v>
      </c>
      <c r="AK10" s="15">
        <f t="shared" si="19"/>
        <v>2.0894504962418906E-2</v>
      </c>
      <c r="AL10" s="11"/>
      <c r="AM10" s="11"/>
      <c r="AN10" s="8">
        <f t="shared" si="20"/>
        <v>0.41183036646946508</v>
      </c>
      <c r="AO10" s="8">
        <f t="shared" si="21"/>
        <v>1.4438645896622591</v>
      </c>
      <c r="AP10" s="8">
        <f t="shared" si="22"/>
        <v>4.1726175525139793</v>
      </c>
      <c r="AQ10" s="8">
        <f t="shared" si="23"/>
        <v>6.6072790780188759</v>
      </c>
      <c r="AR10" s="8">
        <f t="shared" si="24"/>
        <v>27.917039561129915</v>
      </c>
      <c r="AS10" s="8">
        <f t="shared" si="25"/>
        <v>51.758204835625428</v>
      </c>
      <c r="AT10" s="8">
        <f t="shared" si="26"/>
        <v>7.6891640165800839</v>
      </c>
      <c r="AU10" s="14">
        <f t="shared" si="27"/>
        <v>100</v>
      </c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</row>
    <row r="11" spans="1:189" s="16" customFormat="1">
      <c r="A11" s="1" t="s">
        <v>70</v>
      </c>
      <c r="B11" s="12">
        <v>81.55</v>
      </c>
      <c r="C11" s="12">
        <v>2803.25</v>
      </c>
      <c r="D11" s="12">
        <v>-1227.45</v>
      </c>
      <c r="E11" s="12">
        <v>2801.21</v>
      </c>
      <c r="F11" s="13" t="s">
        <v>130</v>
      </c>
      <c r="G11" s="12" t="s">
        <v>291</v>
      </c>
      <c r="H11" s="2" t="s">
        <v>193</v>
      </c>
      <c r="I11" s="8">
        <v>0.48434989774666271</v>
      </c>
      <c r="J11" s="8">
        <v>0.98022836840058214</v>
      </c>
      <c r="K11" s="8">
        <v>2.77641384836428</v>
      </c>
      <c r="L11" s="8">
        <v>5.3209931129492043</v>
      </c>
      <c r="M11" s="8">
        <v>30.068218899220543</v>
      </c>
      <c r="N11" s="8">
        <v>3.9287354800160994</v>
      </c>
      <c r="O11" s="8">
        <v>0.73628493728605016</v>
      </c>
      <c r="P11" s="8"/>
      <c r="Q11" s="8"/>
      <c r="R11" s="8">
        <f t="shared" si="4"/>
        <v>33.996954379236641</v>
      </c>
      <c r="S11" s="8">
        <f t="shared" si="5"/>
        <v>34.733239316522692</v>
      </c>
      <c r="T11" s="8">
        <f t="shared" si="6"/>
        <v>40.054232429471902</v>
      </c>
      <c r="U11" s="8">
        <f t="shared" si="7"/>
        <v>43.558939606697372</v>
      </c>
      <c r="V11" s="8">
        <f t="shared" si="8"/>
        <v>44.295224543983423</v>
      </c>
      <c r="W11" s="8">
        <f t="shared" si="9"/>
        <v>39.317947492185844</v>
      </c>
      <c r="X11" s="8">
        <f t="shared" si="10"/>
        <v>4.240992114511525</v>
      </c>
      <c r="Y11" s="8"/>
      <c r="Z11" s="11"/>
      <c r="AA11" s="8">
        <f t="shared" si="11"/>
        <v>7.6534088518215349</v>
      </c>
      <c r="AB11" s="14">
        <f t="shared" si="12"/>
        <v>9.2709315251142517</v>
      </c>
      <c r="AC11" s="11"/>
      <c r="AD11" s="11"/>
      <c r="AE11" s="15">
        <f t="shared" si="13"/>
        <v>9.9660472787379151E-4</v>
      </c>
      <c r="AF11" s="15">
        <f t="shared" si="14"/>
        <v>2.0855922731927278E-3</v>
      </c>
      <c r="AG11" s="15">
        <f t="shared" si="15"/>
        <v>4.0121587404108091E-3</v>
      </c>
      <c r="AH11" s="15">
        <f t="shared" si="16"/>
        <v>3.7737539808150387E-2</v>
      </c>
      <c r="AI11" s="15">
        <f t="shared" si="17"/>
        <v>2.9948425198426835E-2</v>
      </c>
      <c r="AJ11" s="15">
        <f t="shared" si="18"/>
        <v>6.6815229251974478E-3</v>
      </c>
      <c r="AK11" s="15">
        <f t="shared" si="19"/>
        <v>5.0430475156578777E-3</v>
      </c>
      <c r="AL11" s="11"/>
      <c r="AM11" s="11"/>
      <c r="AN11" s="8">
        <f t="shared" si="20"/>
        <v>1.09345849972094</v>
      </c>
      <c r="AO11" s="8">
        <f t="shared" si="21"/>
        <v>2.2129436716756086</v>
      </c>
      <c r="AP11" s="8">
        <f t="shared" si="22"/>
        <v>6.2679755593233528</v>
      </c>
      <c r="AQ11" s="8">
        <f t="shared" si="23"/>
        <v>12.012566067174276</v>
      </c>
      <c r="AR11" s="8">
        <f t="shared" si="24"/>
        <v>67.881400780266901</v>
      </c>
      <c r="AS11" s="8">
        <f t="shared" si="25"/>
        <v>8.8694334896417981</v>
      </c>
      <c r="AT11" s="8">
        <f t="shared" si="26"/>
        <v>1.662221932197111</v>
      </c>
      <c r="AU11" s="14">
        <f t="shared" si="27"/>
        <v>99.999999999999986</v>
      </c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</row>
    <row r="12" spans="1:189" s="17" customFormat="1">
      <c r="A12" s="1" t="s">
        <v>71</v>
      </c>
      <c r="B12" s="12">
        <v>83.52</v>
      </c>
      <c r="C12" s="12">
        <v>2805.22</v>
      </c>
      <c r="D12" s="12">
        <v>-1229.4199999999998</v>
      </c>
      <c r="E12" s="12">
        <v>2804.43</v>
      </c>
      <c r="F12" s="13" t="s">
        <v>130</v>
      </c>
      <c r="G12" s="12" t="s">
        <v>291</v>
      </c>
      <c r="H12" s="2" t="s">
        <v>193</v>
      </c>
      <c r="I12" s="8">
        <v>0.66614977017788402</v>
      </c>
      <c r="J12" s="8">
        <v>0.99604336129364146</v>
      </c>
      <c r="K12" s="8">
        <v>1.98356139121816</v>
      </c>
      <c r="L12" s="8">
        <v>2.5496937222083758</v>
      </c>
      <c r="M12" s="8">
        <v>6.7112509448589357</v>
      </c>
      <c r="N12" s="8">
        <v>1.6747653110179752</v>
      </c>
      <c r="O12" s="8">
        <v>0.44441800927890962</v>
      </c>
      <c r="P12" s="8"/>
      <c r="Q12" s="8"/>
      <c r="R12" s="8">
        <f t="shared" si="4"/>
        <v>8.3860162558769105</v>
      </c>
      <c r="S12" s="8">
        <f t="shared" si="5"/>
        <v>8.8304342651558194</v>
      </c>
      <c r="T12" s="8">
        <f t="shared" si="6"/>
        <v>11.380127987364196</v>
      </c>
      <c r="U12" s="8">
        <f t="shared" si="7"/>
        <v>14.581464500774972</v>
      </c>
      <c r="V12" s="8">
        <f t="shared" si="8"/>
        <v>15.025882510053881</v>
      </c>
      <c r="W12" s="8">
        <f t="shared" si="9"/>
        <v>10.935709978085287</v>
      </c>
      <c r="X12" s="8">
        <f t="shared" si="10"/>
        <v>3.6457545226896855</v>
      </c>
      <c r="Y12" s="8"/>
      <c r="Z12" s="11"/>
      <c r="AA12" s="8">
        <f t="shared" si="11"/>
        <v>4.0072784531103203</v>
      </c>
      <c r="AB12" s="14">
        <f t="shared" si="12"/>
        <v>2.9995738632499527</v>
      </c>
      <c r="AC12" s="11"/>
      <c r="AD12" s="11"/>
      <c r="AE12" s="15">
        <f t="shared" si="13"/>
        <v>1.3706785394606666E-3</v>
      </c>
      <c r="AF12" s="15">
        <f t="shared" si="14"/>
        <v>2.1192411942417902E-3</v>
      </c>
      <c r="AG12" s="15">
        <f t="shared" si="15"/>
        <v>2.8664181954019654E-3</v>
      </c>
      <c r="AH12" s="15">
        <f t="shared" si="16"/>
        <v>1.8082934200059401E-2</v>
      </c>
      <c r="AI12" s="15">
        <f t="shared" si="17"/>
        <v>6.6845128932857927E-3</v>
      </c>
      <c r="AJ12" s="15">
        <f t="shared" si="18"/>
        <v>2.8482403248605019E-3</v>
      </c>
      <c r="AK12" s="15">
        <f t="shared" si="19"/>
        <v>3.0439589676637645E-3</v>
      </c>
      <c r="AL12" s="11"/>
      <c r="AM12" s="11"/>
      <c r="AN12" s="8">
        <f t="shared" si="20"/>
        <v>4.4333487216618419</v>
      </c>
      <c r="AO12" s="8">
        <f t="shared" si="21"/>
        <v>6.6288509884672973</v>
      </c>
      <c r="AP12" s="8">
        <f t="shared" si="22"/>
        <v>13.200964335312424</v>
      </c>
      <c r="AQ12" s="8">
        <f t="shared" si="23"/>
        <v>16.968678681617302</v>
      </c>
      <c r="AR12" s="8">
        <f t="shared" si="24"/>
        <v>44.664604161309057</v>
      </c>
      <c r="AS12" s="8">
        <f t="shared" si="25"/>
        <v>11.145869867526136</v>
      </c>
      <c r="AT12" s="8">
        <f t="shared" si="26"/>
        <v>2.957683244105946</v>
      </c>
      <c r="AU12" s="14">
        <f t="shared" si="27"/>
        <v>100</v>
      </c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</row>
    <row r="13" spans="1:189" s="17" customFormat="1">
      <c r="A13" s="1" t="s">
        <v>72</v>
      </c>
      <c r="B13" s="12">
        <v>84.78</v>
      </c>
      <c r="C13" s="12">
        <v>2806.48</v>
      </c>
      <c r="D13" s="12">
        <v>-1230.68</v>
      </c>
      <c r="E13" s="12">
        <v>2805.69</v>
      </c>
      <c r="F13" s="13" t="s">
        <v>130</v>
      </c>
      <c r="G13" s="12" t="s">
        <v>293</v>
      </c>
      <c r="H13" s="2" t="s">
        <v>193</v>
      </c>
      <c r="I13" s="8">
        <v>0.52932831790123458</v>
      </c>
      <c r="J13" s="8">
        <v>0.98528212347412969</v>
      </c>
      <c r="K13" s="8">
        <v>2.6166844650006458</v>
      </c>
      <c r="L13" s="8">
        <v>3.4076184661040427</v>
      </c>
      <c r="M13" s="8">
        <v>10.977525316617784</v>
      </c>
      <c r="N13" s="8">
        <v>4.944145060933959</v>
      </c>
      <c r="O13" s="8">
        <v>1.3036136454637295</v>
      </c>
      <c r="P13" s="8"/>
      <c r="Q13" s="8"/>
      <c r="R13" s="8">
        <f t="shared" si="4"/>
        <v>15.921670377551743</v>
      </c>
      <c r="S13" s="8">
        <f t="shared" si="5"/>
        <v>17.225284023015472</v>
      </c>
      <c r="T13" s="8">
        <f t="shared" si="6"/>
        <v>20.632902489119516</v>
      </c>
      <c r="U13" s="8">
        <f t="shared" si="7"/>
        <v>23.460583750031798</v>
      </c>
      <c r="V13" s="8">
        <f t="shared" si="8"/>
        <v>24.764197395495529</v>
      </c>
      <c r="W13" s="8">
        <f t="shared" si="9"/>
        <v>19.329288843655785</v>
      </c>
      <c r="X13" s="8">
        <f t="shared" si="10"/>
        <v>4.1312949063760103</v>
      </c>
      <c r="Y13" s="8"/>
      <c r="Z13" s="11"/>
      <c r="AA13" s="8">
        <f t="shared" si="11"/>
        <v>2.2203080980281973</v>
      </c>
      <c r="AB13" s="14">
        <f t="shared" si="12"/>
        <v>4.6787482573137149</v>
      </c>
      <c r="AC13" s="11"/>
      <c r="AD13" s="11"/>
      <c r="AE13" s="15">
        <f t="shared" si="13"/>
        <v>1.0891529174922522E-3</v>
      </c>
      <c r="AF13" s="15">
        <f t="shared" si="14"/>
        <v>2.0963449435619781E-3</v>
      </c>
      <c r="AG13" s="15">
        <f t="shared" si="15"/>
        <v>3.7813359320818581E-3</v>
      </c>
      <c r="AH13" s="15">
        <f t="shared" si="16"/>
        <v>2.4167506851801721E-2</v>
      </c>
      <c r="AI13" s="15">
        <f t="shared" si="17"/>
        <v>1.0933790155993809E-2</v>
      </c>
      <c r="AJ13" s="15">
        <f t="shared" si="18"/>
        <v>8.4084099675747603E-3</v>
      </c>
      <c r="AK13" s="15">
        <f t="shared" si="19"/>
        <v>8.9288605853680095E-3</v>
      </c>
      <c r="AL13" s="11"/>
      <c r="AM13" s="11"/>
      <c r="AN13" s="8">
        <f t="shared" si="20"/>
        <v>2.1374741504746546</v>
      </c>
      <c r="AO13" s="8">
        <f t="shared" si="21"/>
        <v>3.9786555878986296</v>
      </c>
      <c r="AP13" s="8">
        <f t="shared" si="22"/>
        <v>10.566401257472638</v>
      </c>
      <c r="AQ13" s="8">
        <f t="shared" si="23"/>
        <v>13.760262089995575</v>
      </c>
      <c r="AR13" s="8">
        <f t="shared" si="24"/>
        <v>44.328209557134834</v>
      </c>
      <c r="AS13" s="8">
        <f t="shared" si="25"/>
        <v>19.964891177265741</v>
      </c>
      <c r="AT13" s="8">
        <f t="shared" si="26"/>
        <v>5.2641061797579178</v>
      </c>
      <c r="AU13" s="14">
        <f t="shared" si="27"/>
        <v>99.999999999999986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</row>
    <row r="14" spans="1:189">
      <c r="A14" s="1" t="s">
        <v>110</v>
      </c>
      <c r="B14" s="12">
        <v>86.34</v>
      </c>
      <c r="C14" s="12">
        <v>2808.04</v>
      </c>
      <c r="D14" s="12">
        <v>-1232.24</v>
      </c>
      <c r="E14" s="12">
        <v>2807.25</v>
      </c>
      <c r="F14" s="13" t="s">
        <v>130</v>
      </c>
      <c r="G14" s="12" t="s">
        <v>295</v>
      </c>
      <c r="H14" s="2" t="s">
        <v>199</v>
      </c>
      <c r="I14" s="8">
        <v>8.507215859993444</v>
      </c>
      <c r="J14" s="8">
        <v>10.35009088109971</v>
      </c>
      <c r="K14" s="8">
        <v>13.086133431332623</v>
      </c>
      <c r="L14" s="8">
        <v>85.195071562658285</v>
      </c>
      <c r="M14" s="8">
        <v>1558.2085994378281</v>
      </c>
      <c r="N14" s="8">
        <v>4153.5908662011698</v>
      </c>
      <c r="O14" s="8">
        <v>26.615572948222599</v>
      </c>
      <c r="P14" s="8"/>
      <c r="Q14" s="8"/>
      <c r="R14" s="8">
        <f t="shared" si="4"/>
        <v>5711.7994656389983</v>
      </c>
      <c r="S14" s="8">
        <f t="shared" si="5"/>
        <v>5738.4150385872199</v>
      </c>
      <c r="T14" s="8">
        <f t="shared" si="6"/>
        <v>5823.6101101498789</v>
      </c>
      <c r="U14" s="8">
        <f t="shared" si="7"/>
        <v>5828.937977374082</v>
      </c>
      <c r="V14" s="8">
        <f t="shared" si="8"/>
        <v>5855.5535503223045</v>
      </c>
      <c r="W14" s="8">
        <f t="shared" si="9"/>
        <v>5796.9945372016564</v>
      </c>
      <c r="X14" s="8">
        <f t="shared" si="10"/>
        <v>31.943440172425777</v>
      </c>
      <c r="AA14" s="8">
        <f t="shared" si="11"/>
        <v>0.37514734831429103</v>
      </c>
      <c r="AB14" s="14">
        <f t="shared" si="12"/>
        <v>181.47683862196342</v>
      </c>
      <c r="AE14" s="15">
        <f t="shared" si="13"/>
        <v>1.750455938270256E-2</v>
      </c>
      <c r="AF14" s="15">
        <f t="shared" si="14"/>
        <v>2.2021469959786617E-2</v>
      </c>
      <c r="AG14" s="15">
        <f t="shared" si="15"/>
        <v>1.8910597444122289E-2</v>
      </c>
      <c r="AH14" s="15">
        <f t="shared" si="16"/>
        <v>0.60422036569261195</v>
      </c>
      <c r="AI14" s="15">
        <f t="shared" si="17"/>
        <v>1.5520005970496296</v>
      </c>
      <c r="AJ14" s="15">
        <f t="shared" si="18"/>
        <v>7.0639300445598128</v>
      </c>
      <c r="AK14" s="15">
        <f t="shared" si="19"/>
        <v>0.18229844485083971</v>
      </c>
      <c r="AN14" s="8">
        <f t="shared" si="20"/>
        <v>0.14528457108081924</v>
      </c>
      <c r="AO14" s="8">
        <f t="shared" si="21"/>
        <v>0.17675683079578389</v>
      </c>
      <c r="AP14" s="8">
        <f t="shared" si="22"/>
        <v>0.22348243114628044</v>
      </c>
      <c r="AQ14" s="8">
        <f t="shared" si="23"/>
        <v>1.4549447943818896</v>
      </c>
      <c r="AR14" s="8">
        <f t="shared" si="24"/>
        <v>26.610782158282202</v>
      </c>
      <c r="AS14" s="8">
        <f t="shared" si="25"/>
        <v>70.93421365726465</v>
      </c>
      <c r="AT14" s="8">
        <f t="shared" si="26"/>
        <v>0.45453555704836152</v>
      </c>
      <c r="AU14" s="14">
        <f t="shared" si="27"/>
        <v>99.999999999999986</v>
      </c>
    </row>
    <row r="15" spans="1:189" s="17" customFormat="1">
      <c r="A15" s="1" t="s">
        <v>7</v>
      </c>
      <c r="B15" s="12">
        <v>86.7</v>
      </c>
      <c r="C15" s="12">
        <v>2808.3999999999996</v>
      </c>
      <c r="D15" s="12">
        <v>-1232.5999999999997</v>
      </c>
      <c r="E15" s="12">
        <v>2807.6099999999997</v>
      </c>
      <c r="F15" s="13" t="s">
        <v>130</v>
      </c>
      <c r="G15" s="12" t="s">
        <v>295</v>
      </c>
      <c r="H15" s="2" t="s">
        <v>188</v>
      </c>
      <c r="I15" s="8">
        <v>9.6027241914294709E-2</v>
      </c>
      <c r="J15" s="8">
        <v>0.13153427999230702</v>
      </c>
      <c r="K15" s="8">
        <v>0.53589935414769985</v>
      </c>
      <c r="L15" s="8">
        <v>0.46664692183764866</v>
      </c>
      <c r="M15" s="8">
        <v>5.7137152996317155</v>
      </c>
      <c r="N15" s="8">
        <v>40.243232924183353</v>
      </c>
      <c r="O15" s="8">
        <v>5.5987580025204613</v>
      </c>
      <c r="P15" s="8"/>
      <c r="Q15" s="8"/>
      <c r="R15" s="8">
        <f>M15+N15</f>
        <v>45.956948223815068</v>
      </c>
      <c r="S15" s="8">
        <f>O15+N15+M15</f>
        <v>51.555706226335531</v>
      </c>
      <c r="T15" s="8">
        <f>L15+M15+N15+O15</f>
        <v>52.022353148173181</v>
      </c>
      <c r="U15" s="8">
        <f>I15+J15+K15+L15+M15+N15</f>
        <v>47.187056021707022</v>
      </c>
      <c r="V15" s="8">
        <f>I15+J15+K15+L15+M15+N15+O15</f>
        <v>52.785814024227484</v>
      </c>
      <c r="W15" s="8">
        <f>M15+N15+L15</f>
        <v>46.423595145652719</v>
      </c>
      <c r="X15" s="8">
        <f>I15+J15+K15</f>
        <v>0.76346087605430157</v>
      </c>
      <c r="Y15" s="8"/>
      <c r="Z15" s="11"/>
      <c r="AA15" s="8">
        <f>M15/N15</f>
        <v>0.14197953008388087</v>
      </c>
      <c r="AB15" s="14">
        <f>W15/X15</f>
        <v>60.806776878440616</v>
      </c>
      <c r="AC15" s="11"/>
      <c r="AD15" s="11"/>
      <c r="AE15" s="15">
        <f t="shared" si="13"/>
        <v>1.9758691751912491E-4</v>
      </c>
      <c r="AF15" s="15">
        <f t="shared" si="14"/>
        <v>2.7986017019639793E-4</v>
      </c>
      <c r="AG15" s="15">
        <f t="shared" si="15"/>
        <v>7.7442103200534658E-4</v>
      </c>
      <c r="AH15" s="15">
        <f t="shared" si="16"/>
        <v>3.3095526371464444E-3</v>
      </c>
      <c r="AI15" s="15">
        <f t="shared" si="17"/>
        <v>5.6909514936570871E-3</v>
      </c>
      <c r="AJ15" s="15">
        <f t="shared" si="18"/>
        <v>6.8440872320039717E-2</v>
      </c>
      <c r="AK15" s="15">
        <f t="shared" si="19"/>
        <v>3.8347657551510012E-2</v>
      </c>
      <c r="AL15" s="11"/>
      <c r="AM15" s="11"/>
      <c r="AN15" s="8">
        <f t="shared" si="20"/>
        <v>0.18191865312566821</v>
      </c>
      <c r="AO15" s="8">
        <f t="shared" si="21"/>
        <v>0.24918490398184595</v>
      </c>
      <c r="AP15" s="8">
        <f t="shared" si="22"/>
        <v>1.015233664676904</v>
      </c>
      <c r="AQ15" s="8">
        <f t="shared" si="23"/>
        <v>0.88403850629918934</v>
      </c>
      <c r="AR15" s="8">
        <f t="shared" si="24"/>
        <v>10.824338707761994</v>
      </c>
      <c r="AS15" s="8">
        <f t="shared" si="25"/>
        <v>76.238727521967604</v>
      </c>
      <c r="AT15" s="8">
        <f t="shared" si="26"/>
        <v>10.606558042186787</v>
      </c>
      <c r="AU15" s="14">
        <f t="shared" si="27"/>
        <v>100</v>
      </c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</row>
    <row r="16" spans="1:189" s="17" customFormat="1">
      <c r="A16" s="1" t="s">
        <v>111</v>
      </c>
      <c r="B16" s="12">
        <v>86.91</v>
      </c>
      <c r="C16" s="12">
        <v>2808.6099999999997</v>
      </c>
      <c r="D16" s="12">
        <v>-1232.8099999999997</v>
      </c>
      <c r="E16" s="12">
        <v>2807.8199999999997</v>
      </c>
      <c r="F16" s="13" t="s">
        <v>130</v>
      </c>
      <c r="G16" s="12" t="s">
        <v>295</v>
      </c>
      <c r="H16" s="2" t="s">
        <v>199</v>
      </c>
      <c r="I16" s="8">
        <v>4.2909962573919339E-2</v>
      </c>
      <c r="J16" s="8">
        <v>4.7107676303976664E-2</v>
      </c>
      <c r="K16" s="8">
        <v>0.21921393923632707</v>
      </c>
      <c r="L16" s="8">
        <v>0.43842787847265419</v>
      </c>
      <c r="M16" s="8">
        <v>53.590811953731873</v>
      </c>
      <c r="N16" s="8">
        <v>2.4494126027521173</v>
      </c>
      <c r="O16" s="8">
        <v>9.8371089200710067</v>
      </c>
      <c r="P16" s="8"/>
      <c r="Q16" s="8"/>
      <c r="R16" s="8">
        <f t="shared" si="4"/>
        <v>56.040224556483992</v>
      </c>
      <c r="S16" s="8">
        <f t="shared" si="5"/>
        <v>65.877333476554995</v>
      </c>
      <c r="T16" s="8">
        <f t="shared" si="6"/>
        <v>66.315761355027647</v>
      </c>
      <c r="U16" s="8">
        <f t="shared" si="7"/>
        <v>56.787884013070865</v>
      </c>
      <c r="V16" s="8">
        <f t="shared" si="8"/>
        <v>66.624992933141868</v>
      </c>
      <c r="W16" s="8">
        <f t="shared" si="9"/>
        <v>56.478652434956643</v>
      </c>
      <c r="X16" s="8">
        <f t="shared" si="10"/>
        <v>0.30923157811422308</v>
      </c>
      <c r="Y16" s="8"/>
      <c r="Z16" s="11"/>
      <c r="AA16" s="8">
        <f t="shared" si="11"/>
        <v>21.879046385863358</v>
      </c>
      <c r="AB16" s="14">
        <f t="shared" si="12"/>
        <v>182.6419306184012</v>
      </c>
      <c r="AC16" s="11"/>
      <c r="AD16" s="11"/>
      <c r="AE16" s="15">
        <f t="shared" si="13"/>
        <v>8.8292104061562428E-5</v>
      </c>
      <c r="AF16" s="15">
        <f t="shared" si="14"/>
        <v>1.0022909851909928E-4</v>
      </c>
      <c r="AG16" s="15">
        <f t="shared" si="15"/>
        <v>3.1678314918544374E-4</v>
      </c>
      <c r="AH16" s="15">
        <f t="shared" si="16"/>
        <v>3.1094175778202423E-3</v>
      </c>
      <c r="AI16" s="15">
        <f t="shared" si="17"/>
        <v>5.3377302742760827E-2</v>
      </c>
      <c r="AJ16" s="15">
        <f t="shared" si="18"/>
        <v>4.1656676917553011E-3</v>
      </c>
      <c r="AK16" s="15">
        <f t="shared" si="19"/>
        <v>6.7377458356650724E-2</v>
      </c>
      <c r="AL16" s="11"/>
      <c r="AM16" s="11"/>
      <c r="AN16" s="8">
        <f t="shared" si="20"/>
        <v>6.4405203940478398E-2</v>
      </c>
      <c r="AO16" s="8">
        <f t="shared" si="21"/>
        <v>7.0705713021612146E-2</v>
      </c>
      <c r="AP16" s="8">
        <f t="shared" si="22"/>
        <v>0.32902658534809615</v>
      </c>
      <c r="AQ16" s="8">
        <f t="shared" si="23"/>
        <v>0.6580531706961924</v>
      </c>
      <c r="AR16" s="8">
        <f t="shared" si="24"/>
        <v>80.436499269140953</v>
      </c>
      <c r="AS16" s="8">
        <f t="shared" si="25"/>
        <v>3.6764170544980037</v>
      </c>
      <c r="AT16" s="8">
        <f t="shared" si="26"/>
        <v>14.76489300335467</v>
      </c>
      <c r="AU16" s="14">
        <f t="shared" si="27"/>
        <v>100</v>
      </c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</row>
    <row r="17" spans="1:189" s="17" customFormat="1">
      <c r="A17" s="1" t="s">
        <v>112</v>
      </c>
      <c r="B17" s="12">
        <v>87.25</v>
      </c>
      <c r="C17" s="12">
        <v>2808.95</v>
      </c>
      <c r="D17" s="12">
        <v>-1233.1499999999999</v>
      </c>
      <c r="E17" s="12">
        <v>2808.16</v>
      </c>
      <c r="F17" s="13" t="s">
        <v>130</v>
      </c>
      <c r="G17" s="12" t="s">
        <v>295</v>
      </c>
      <c r="H17" s="2" t="s">
        <v>199</v>
      </c>
      <c r="I17" s="8">
        <v>2.5290020979221946E-2</v>
      </c>
      <c r="J17" s="8">
        <v>0.10353102338368984</v>
      </c>
      <c r="K17" s="8">
        <v>1.1854697334010291</v>
      </c>
      <c r="L17" s="8">
        <v>0.84563507649273395</v>
      </c>
      <c r="M17" s="8">
        <v>33.896531243713419</v>
      </c>
      <c r="N17" s="8">
        <v>10.362269970973955</v>
      </c>
      <c r="O17" s="8">
        <v>10.164217494180422</v>
      </c>
      <c r="P17" s="8"/>
      <c r="Q17" s="8"/>
      <c r="R17" s="8">
        <f t="shared" si="4"/>
        <v>44.258801214687374</v>
      </c>
      <c r="S17" s="8">
        <f t="shared" si="5"/>
        <v>54.423018708867794</v>
      </c>
      <c r="T17" s="8">
        <f t="shared" si="6"/>
        <v>55.268653785360527</v>
      </c>
      <c r="U17" s="8">
        <f t="shared" si="7"/>
        <v>46.418727068944051</v>
      </c>
      <c r="V17" s="8">
        <f t="shared" si="8"/>
        <v>56.582944563124471</v>
      </c>
      <c r="W17" s="8">
        <f t="shared" si="9"/>
        <v>45.104436291180107</v>
      </c>
      <c r="X17" s="8">
        <f t="shared" si="10"/>
        <v>1.314290777763941</v>
      </c>
      <c r="Y17" s="8"/>
      <c r="Z17" s="11"/>
      <c r="AA17" s="8">
        <f t="shared" si="11"/>
        <v>3.2711492113853375</v>
      </c>
      <c r="AB17" s="14">
        <f t="shared" si="12"/>
        <v>34.318460613349359</v>
      </c>
      <c r="AC17" s="11"/>
      <c r="AD17" s="11"/>
      <c r="AE17" s="15">
        <f t="shared" si="13"/>
        <v>5.2037080204160381E-5</v>
      </c>
      <c r="AF17" s="15">
        <f t="shared" si="14"/>
        <v>2.2027877315678691E-4</v>
      </c>
      <c r="AG17" s="15">
        <f t="shared" si="15"/>
        <v>1.7131065511575565E-3</v>
      </c>
      <c r="AH17" s="15">
        <f t="shared" si="16"/>
        <v>5.99741189001939E-3</v>
      </c>
      <c r="AI17" s="15">
        <f t="shared" si="17"/>
        <v>3.3761485302503405E-2</v>
      </c>
      <c r="AJ17" s="15">
        <f t="shared" si="18"/>
        <v>1.7622908113901284E-2</v>
      </c>
      <c r="AK17" s="15">
        <f t="shared" si="19"/>
        <v>6.9617928042331662E-2</v>
      </c>
      <c r="AL17" s="11"/>
      <c r="AM17" s="11"/>
      <c r="AN17" s="8">
        <f t="shared" si="20"/>
        <v>4.4695484080027256E-2</v>
      </c>
      <c r="AO17" s="8">
        <f t="shared" si="21"/>
        <v>0.18297213795261158</v>
      </c>
      <c r="AP17" s="8">
        <f t="shared" si="22"/>
        <v>2.0951008162512781</v>
      </c>
      <c r="AQ17" s="8">
        <f t="shared" si="23"/>
        <v>1.4945052489259116</v>
      </c>
      <c r="AR17" s="8">
        <f t="shared" si="24"/>
        <v>59.905916006011545</v>
      </c>
      <c r="AS17" s="8">
        <f t="shared" si="25"/>
        <v>18.313415908240174</v>
      </c>
      <c r="AT17" s="8">
        <f t="shared" si="26"/>
        <v>17.963394398538458</v>
      </c>
      <c r="AU17" s="14">
        <f t="shared" si="27"/>
        <v>100</v>
      </c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</row>
    <row r="18" spans="1:189" s="17" customFormat="1">
      <c r="A18" s="1" t="s">
        <v>113</v>
      </c>
      <c r="B18" s="12">
        <v>87.5</v>
      </c>
      <c r="C18" s="12">
        <v>2809.2</v>
      </c>
      <c r="D18" s="12">
        <v>-1233.3999999999999</v>
      </c>
      <c r="E18" s="12">
        <v>2808.41</v>
      </c>
      <c r="F18" s="13" t="s">
        <v>130</v>
      </c>
      <c r="G18" s="12" t="s">
        <v>295</v>
      </c>
      <c r="H18" s="2" t="s">
        <v>199</v>
      </c>
      <c r="I18" s="8">
        <v>0.10052363343377677</v>
      </c>
      <c r="J18" s="8">
        <v>0.22266754299967279</v>
      </c>
      <c r="K18" s="8">
        <v>1.4527150217333715</v>
      </c>
      <c r="L18" s="8">
        <v>1.3442951026273067</v>
      </c>
      <c r="M18" s="8">
        <v>13.787206319971773</v>
      </c>
      <c r="N18" s="8">
        <v>29.228165386327106</v>
      </c>
      <c r="O18" s="8">
        <v>4.4673939244185297</v>
      </c>
      <c r="P18" s="8"/>
      <c r="Q18" s="8"/>
      <c r="R18" s="8">
        <f t="shared" si="4"/>
        <v>43.015371706298879</v>
      </c>
      <c r="S18" s="8">
        <f t="shared" si="5"/>
        <v>47.48276563071741</v>
      </c>
      <c r="T18" s="8">
        <f t="shared" si="6"/>
        <v>48.827060733344716</v>
      </c>
      <c r="U18" s="8">
        <f t="shared" si="7"/>
        <v>46.135573007093008</v>
      </c>
      <c r="V18" s="8">
        <f t="shared" si="8"/>
        <v>50.602966931511538</v>
      </c>
      <c r="W18" s="8">
        <f t="shared" si="9"/>
        <v>44.359666808926185</v>
      </c>
      <c r="X18" s="8">
        <f t="shared" si="10"/>
        <v>1.7759061981668212</v>
      </c>
      <c r="Y18" s="8"/>
      <c r="Z18" s="11"/>
      <c r="AA18" s="8">
        <f t="shared" si="11"/>
        <v>0.47170960399797823</v>
      </c>
      <c r="AB18" s="14">
        <f t="shared" si="12"/>
        <v>24.978609148792003</v>
      </c>
      <c r="AC18" s="11"/>
      <c r="AD18" s="11"/>
      <c r="AE18" s="15">
        <f t="shared" si="13"/>
        <v>2.0683875192135137E-4</v>
      </c>
      <c r="AF18" s="15">
        <f t="shared" si="14"/>
        <v>4.7376072978653783E-4</v>
      </c>
      <c r="AG18" s="15">
        <f t="shared" si="15"/>
        <v>2.0992991643545831E-3</v>
      </c>
      <c r="AH18" s="15">
        <f t="shared" si="16"/>
        <v>9.5340078200518204E-3</v>
      </c>
      <c r="AI18" s="15">
        <f t="shared" si="17"/>
        <v>1.3732277211127264E-2</v>
      </c>
      <c r="AJ18" s="15">
        <f t="shared" si="18"/>
        <v>4.9707764262461061E-2</v>
      </c>
      <c r="AK18" s="15">
        <f t="shared" si="19"/>
        <v>3.0598588523414585E-2</v>
      </c>
      <c r="AL18" s="11"/>
      <c r="AM18" s="11"/>
      <c r="AN18" s="8">
        <f t="shared" si="20"/>
        <v>0.19865165923932923</v>
      </c>
      <c r="AO18" s="8">
        <f t="shared" si="21"/>
        <v>0.44002863172240797</v>
      </c>
      <c r="AP18" s="8">
        <f t="shared" si="22"/>
        <v>2.8708099738490533</v>
      </c>
      <c r="AQ18" s="8">
        <f t="shared" si="23"/>
        <v>2.6565539219207039</v>
      </c>
      <c r="AR18" s="8">
        <f t="shared" si="24"/>
        <v>27.24584575966076</v>
      </c>
      <c r="AS18" s="8">
        <f t="shared" si="25"/>
        <v>57.759785954617826</v>
      </c>
      <c r="AT18" s="8">
        <f t="shared" si="26"/>
        <v>8.8283240989899117</v>
      </c>
      <c r="AU18" s="14">
        <f t="shared" si="27"/>
        <v>99.999999999999986</v>
      </c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</row>
    <row r="19" spans="1:189" s="17" customFormat="1">
      <c r="A19" s="1" t="s">
        <v>73</v>
      </c>
      <c r="B19" s="12">
        <v>88.14</v>
      </c>
      <c r="C19" s="12">
        <v>2809.8399999999997</v>
      </c>
      <c r="D19" s="12">
        <v>-1234.0399999999997</v>
      </c>
      <c r="E19" s="12">
        <v>2809.0499999999997</v>
      </c>
      <c r="F19" s="13" t="s">
        <v>130</v>
      </c>
      <c r="G19" s="12" t="s">
        <v>295</v>
      </c>
      <c r="H19" s="2" t="s">
        <v>193</v>
      </c>
      <c r="I19" s="8">
        <v>2.574965347395858</v>
      </c>
      <c r="J19" s="8">
        <v>7.2448743127466937</v>
      </c>
      <c r="K19" s="8">
        <v>23.309822972592602</v>
      </c>
      <c r="L19" s="8">
        <v>53.334282068075836</v>
      </c>
      <c r="M19" s="8">
        <v>291.65436817799997</v>
      </c>
      <c r="N19" s="8">
        <v>155.24036342868123</v>
      </c>
      <c r="O19" s="8">
        <v>5.1810770720737311</v>
      </c>
      <c r="P19" s="8"/>
      <c r="Q19" s="8"/>
      <c r="R19" s="8">
        <f t="shared" si="4"/>
        <v>446.8947316066812</v>
      </c>
      <c r="S19" s="8">
        <f t="shared" si="5"/>
        <v>452.07580867875492</v>
      </c>
      <c r="T19" s="8">
        <f t="shared" si="6"/>
        <v>505.41009074683075</v>
      </c>
      <c r="U19" s="8">
        <f t="shared" si="7"/>
        <v>533.35867630749226</v>
      </c>
      <c r="V19" s="8">
        <f t="shared" si="8"/>
        <v>538.53975337956604</v>
      </c>
      <c r="W19" s="8">
        <f t="shared" si="9"/>
        <v>500.22901367475703</v>
      </c>
      <c r="X19" s="8">
        <f t="shared" si="10"/>
        <v>33.129662632735155</v>
      </c>
      <c r="Y19" s="8"/>
      <c r="Z19" s="11"/>
      <c r="AA19" s="8">
        <f t="shared" si="11"/>
        <v>1.8787276822627932</v>
      </c>
      <c r="AB19" s="14">
        <f t="shared" si="12"/>
        <v>15.099127909032335</v>
      </c>
      <c r="AC19" s="11"/>
      <c r="AD19" s="11"/>
      <c r="AE19" s="15">
        <f t="shared" si="13"/>
        <v>5.2982826078104076E-3</v>
      </c>
      <c r="AF19" s="15">
        <f t="shared" si="14"/>
        <v>1.5414626197333392E-2</v>
      </c>
      <c r="AG19" s="15">
        <f t="shared" si="15"/>
        <v>3.3684715278313009E-2</v>
      </c>
      <c r="AH19" s="15">
        <f t="shared" si="16"/>
        <v>0.37825731963174353</v>
      </c>
      <c r="AI19" s="15">
        <f t="shared" si="17"/>
        <v>0.29049239858366532</v>
      </c>
      <c r="AJ19" s="15">
        <f t="shared" si="18"/>
        <v>0.26401422351816539</v>
      </c>
      <c r="AK19" s="15">
        <f t="shared" si="19"/>
        <v>3.5486829260778979E-2</v>
      </c>
      <c r="AL19" s="11"/>
      <c r="AM19" s="11"/>
      <c r="AN19" s="8">
        <f t="shared" si="20"/>
        <v>0.47813839762744625</v>
      </c>
      <c r="AO19" s="8">
        <f t="shared" si="21"/>
        <v>1.3452812475368856</v>
      </c>
      <c r="AP19" s="8">
        <f t="shared" si="22"/>
        <v>4.3283384051620235</v>
      </c>
      <c r="AQ19" s="8">
        <f t="shared" si="23"/>
        <v>9.9034995528891834</v>
      </c>
      <c r="AR19" s="8">
        <f t="shared" si="24"/>
        <v>54.156516087762277</v>
      </c>
      <c r="AS19" s="8">
        <f t="shared" si="25"/>
        <v>28.826166026645556</v>
      </c>
      <c r="AT19" s="8">
        <f t="shared" si="26"/>
        <v>0.96206028237660612</v>
      </c>
      <c r="AU19" s="14">
        <f t="shared" si="27"/>
        <v>99.999999999999986</v>
      </c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</row>
    <row r="20" spans="1:189" s="17" customFormat="1">
      <c r="A20" s="1" t="s">
        <v>8</v>
      </c>
      <c r="B20" s="12">
        <v>88.19</v>
      </c>
      <c r="C20" s="12">
        <v>2809.89</v>
      </c>
      <c r="D20" s="12">
        <v>-1234.0899999999999</v>
      </c>
      <c r="E20" s="12">
        <v>2809.1</v>
      </c>
      <c r="F20" s="13" t="s">
        <v>130</v>
      </c>
      <c r="G20" s="12" t="s">
        <v>294</v>
      </c>
      <c r="H20" s="2" t="s">
        <v>188</v>
      </c>
      <c r="I20" s="8">
        <v>30.280897968726567</v>
      </c>
      <c r="J20" s="8">
        <v>58.473246081733407</v>
      </c>
      <c r="K20" s="8">
        <v>85.148551489395629</v>
      </c>
      <c r="L20" s="8">
        <v>118.085598927083</v>
      </c>
      <c r="M20" s="8">
        <v>1018.2811635231059</v>
      </c>
      <c r="N20" s="8">
        <v>1191.6441812228757</v>
      </c>
      <c r="O20" s="8">
        <v>154.8675171595506</v>
      </c>
      <c r="P20" s="8"/>
      <c r="Q20" s="8"/>
      <c r="R20" s="8">
        <f t="shared" si="4"/>
        <v>2209.9253447459814</v>
      </c>
      <c r="S20" s="8">
        <f t="shared" si="5"/>
        <v>2364.7928619055319</v>
      </c>
      <c r="T20" s="8">
        <f t="shared" si="6"/>
        <v>2482.878460832615</v>
      </c>
      <c r="U20" s="8">
        <f t="shared" si="7"/>
        <v>2501.9136392129203</v>
      </c>
      <c r="V20" s="8">
        <f t="shared" si="8"/>
        <v>2656.7811563724708</v>
      </c>
      <c r="W20" s="8">
        <f t="shared" si="9"/>
        <v>2328.0109436730645</v>
      </c>
      <c r="X20" s="8">
        <f t="shared" si="10"/>
        <v>173.90269553985559</v>
      </c>
      <c r="Y20" s="8"/>
      <c r="Z20" s="11"/>
      <c r="AA20" s="8">
        <f t="shared" si="11"/>
        <v>0.85451779949794815</v>
      </c>
      <c r="AB20" s="14">
        <f t="shared" si="12"/>
        <v>13.386859452903209</v>
      </c>
      <c r="AC20" s="11"/>
      <c r="AD20" s="11"/>
      <c r="AE20" s="15">
        <f t="shared" si="13"/>
        <v>6.2306374421248083E-2</v>
      </c>
      <c r="AF20" s="15">
        <f t="shared" si="14"/>
        <v>0.12441116187602852</v>
      </c>
      <c r="AG20" s="15">
        <f t="shared" si="15"/>
        <v>0.12304703972456016</v>
      </c>
      <c r="AH20" s="15">
        <f t="shared" si="16"/>
        <v>0.83748651721335454</v>
      </c>
      <c r="AI20" s="15">
        <f t="shared" si="17"/>
        <v>1.0142242664572767</v>
      </c>
      <c r="AJ20" s="15">
        <f t="shared" si="18"/>
        <v>2.0266057503790402</v>
      </c>
      <c r="AK20" s="15">
        <f t="shared" si="19"/>
        <v>1.0607364189010315</v>
      </c>
      <c r="AL20" s="11"/>
      <c r="AM20" s="11"/>
      <c r="AN20" s="8">
        <f t="shared" si="20"/>
        <v>1.1397588354650803</v>
      </c>
      <c r="AO20" s="8">
        <f t="shared" si="21"/>
        <v>2.2009056312930153</v>
      </c>
      <c r="AP20" s="8">
        <f t="shared" si="22"/>
        <v>3.2049516492979118</v>
      </c>
      <c r="AQ20" s="8">
        <f t="shared" si="23"/>
        <v>4.4446867083442925</v>
      </c>
      <c r="AR20" s="8">
        <f t="shared" si="24"/>
        <v>38.327626687681409</v>
      </c>
      <c r="AS20" s="8">
        <f t="shared" si="25"/>
        <v>44.852929582274243</v>
      </c>
      <c r="AT20" s="8">
        <f t="shared" si="26"/>
        <v>5.8291409056440457</v>
      </c>
      <c r="AU20" s="14">
        <f t="shared" si="27"/>
        <v>100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</row>
    <row r="21" spans="1:189">
      <c r="A21" s="1" t="s">
        <v>58</v>
      </c>
      <c r="B21" s="12">
        <v>89.05</v>
      </c>
      <c r="C21" s="12">
        <v>2810.75</v>
      </c>
      <c r="D21" s="12">
        <v>-1234.95</v>
      </c>
      <c r="E21" s="12">
        <v>2810.75</v>
      </c>
      <c r="F21" s="13" t="s">
        <v>131</v>
      </c>
      <c r="G21" s="12" t="s">
        <v>294</v>
      </c>
      <c r="H21" s="2" t="s">
        <v>193</v>
      </c>
      <c r="I21" s="8">
        <v>10.810920041079815</v>
      </c>
      <c r="J21" s="8">
        <v>34.645783980503396</v>
      </c>
      <c r="K21" s="8">
        <v>54.392979021898903</v>
      </c>
      <c r="L21" s="8">
        <v>284.48187704200734</v>
      </c>
      <c r="M21" s="8">
        <v>3078.9038226485836</v>
      </c>
      <c r="N21" s="8">
        <v>7988.7680838961569</v>
      </c>
      <c r="O21" s="8">
        <v>232.65338070831785</v>
      </c>
      <c r="P21" s="8"/>
      <c r="Q21" s="8"/>
      <c r="R21" s="8">
        <f t="shared" si="4"/>
        <v>11067.67190654474</v>
      </c>
      <c r="S21" s="8">
        <f t="shared" si="5"/>
        <v>11300.325287253057</v>
      </c>
      <c r="T21" s="8">
        <f t="shared" si="6"/>
        <v>11584.807164295065</v>
      </c>
      <c r="U21" s="8">
        <f t="shared" si="7"/>
        <v>11452.003466630231</v>
      </c>
      <c r="V21" s="8">
        <f t="shared" si="8"/>
        <v>11684.656847338549</v>
      </c>
      <c r="W21" s="8">
        <f t="shared" si="9"/>
        <v>11352.153783586748</v>
      </c>
      <c r="X21" s="8">
        <f t="shared" si="10"/>
        <v>99.849683043482116</v>
      </c>
      <c r="AA21" s="8">
        <f t="shared" si="11"/>
        <v>0.3854040811192242</v>
      </c>
      <c r="AB21" s="14">
        <f t="shared" si="12"/>
        <v>113.69243684672649</v>
      </c>
      <c r="AE21" s="15">
        <f t="shared" si="13"/>
        <v>2.2244691442551059E-2</v>
      </c>
      <c r="AF21" s="15">
        <f t="shared" si="14"/>
        <v>7.3714434001071055E-2</v>
      </c>
      <c r="AG21" s="15">
        <f t="shared" si="15"/>
        <v>7.8602570840894365E-2</v>
      </c>
      <c r="AH21" s="15">
        <f t="shared" si="16"/>
        <v>2.0176019648369317</v>
      </c>
      <c r="AI21" s="15">
        <f t="shared" si="17"/>
        <v>3.0666372735543663</v>
      </c>
      <c r="AJ21" s="15">
        <f t="shared" si="18"/>
        <v>13.58634027873496</v>
      </c>
      <c r="AK21" s="15">
        <f t="shared" si="19"/>
        <v>1.5935163062213551</v>
      </c>
      <c r="AN21" s="8">
        <f t="shared" si="20"/>
        <v>9.2522358014666489E-2</v>
      </c>
      <c r="AO21" s="8">
        <f t="shared" si="21"/>
        <v>0.29650664485191774</v>
      </c>
      <c r="AP21" s="8">
        <f t="shared" si="22"/>
        <v>0.46550771436893468</v>
      </c>
      <c r="AQ21" s="8">
        <f t="shared" si="23"/>
        <v>2.4346618027281193</v>
      </c>
      <c r="AR21" s="8">
        <f t="shared" si="24"/>
        <v>26.349972129047803</v>
      </c>
      <c r="AS21" s="8">
        <f t="shared" si="25"/>
        <v>68.369727825732298</v>
      </c>
      <c r="AT21" s="8">
        <f t="shared" si="26"/>
        <v>1.9911015252562598</v>
      </c>
      <c r="AU21" s="14">
        <f t="shared" si="27"/>
        <v>100</v>
      </c>
    </row>
    <row r="22" spans="1:189">
      <c r="A22" s="1" t="s">
        <v>107</v>
      </c>
      <c r="B22" s="12">
        <v>90.61</v>
      </c>
      <c r="C22" s="12">
        <v>2812.31</v>
      </c>
      <c r="D22" s="12">
        <v>-1236.51</v>
      </c>
      <c r="E22" s="12">
        <v>2812.31</v>
      </c>
      <c r="F22" s="13" t="s">
        <v>131</v>
      </c>
      <c r="G22" s="12" t="s">
        <v>223</v>
      </c>
      <c r="H22" s="2" t="s">
        <v>192</v>
      </c>
      <c r="I22" s="8">
        <v>6.4964939464158003E-2</v>
      </c>
      <c r="J22" s="8">
        <v>0.16295116963119838</v>
      </c>
      <c r="K22" s="8">
        <v>1.1335329771398801</v>
      </c>
      <c r="L22" s="8">
        <v>0.23259322537909</v>
      </c>
      <c r="M22" s="8">
        <v>1.6928181591117726</v>
      </c>
      <c r="N22" s="8">
        <v>1.4218547599037141</v>
      </c>
      <c r="O22" s="8">
        <v>0.63089736051737988</v>
      </c>
      <c r="P22" s="8"/>
      <c r="Q22" s="8"/>
      <c r="R22" s="8">
        <f t="shared" si="4"/>
        <v>3.1146729190154865</v>
      </c>
      <c r="S22" s="8">
        <f t="shared" si="5"/>
        <v>3.7455702795328665</v>
      </c>
      <c r="T22" s="8">
        <f t="shared" si="6"/>
        <v>3.9781635049119566</v>
      </c>
      <c r="U22" s="8">
        <f t="shared" si="7"/>
        <v>4.7087152306298128</v>
      </c>
      <c r="V22" s="8">
        <f t="shared" si="8"/>
        <v>5.3396125911471923</v>
      </c>
      <c r="W22" s="8">
        <f t="shared" si="9"/>
        <v>3.3472661443945766</v>
      </c>
      <c r="X22" s="8">
        <f t="shared" si="10"/>
        <v>1.3614490862352364</v>
      </c>
      <c r="AA22" s="8">
        <f t="shared" si="11"/>
        <v>1.190570378106979</v>
      </c>
      <c r="AB22" s="14">
        <f t="shared" si="12"/>
        <v>2.4586054507926147</v>
      </c>
      <c r="AE22" s="15">
        <f t="shared" si="13"/>
        <v>1.3367271494682715E-4</v>
      </c>
      <c r="AF22" s="15">
        <f t="shared" si="14"/>
        <v>3.4670461623659228E-4</v>
      </c>
      <c r="AG22" s="15">
        <f t="shared" si="15"/>
        <v>1.6380534351732371E-3</v>
      </c>
      <c r="AH22" s="15">
        <f t="shared" si="16"/>
        <v>1.6495973431141136E-3</v>
      </c>
      <c r="AI22" s="15">
        <f t="shared" si="17"/>
        <v>1.686073863657144E-3</v>
      </c>
      <c r="AJ22" s="15">
        <f t="shared" si="18"/>
        <v>2.4181203399723031E-3</v>
      </c>
      <c r="AK22" s="15">
        <f t="shared" si="19"/>
        <v>4.3212147980642461E-3</v>
      </c>
      <c r="AN22" s="8">
        <f t="shared" si="20"/>
        <v>1.216660166916727</v>
      </c>
      <c r="AO22" s="8">
        <f t="shared" si="21"/>
        <v>3.0517414297314973</v>
      </c>
      <c r="AP22" s="8">
        <f t="shared" si="22"/>
        <v>21.228749423117709</v>
      </c>
      <c r="AQ22" s="8">
        <f t="shared" si="23"/>
        <v>4.3559943986332978</v>
      </c>
      <c r="AR22" s="8">
        <f t="shared" si="24"/>
        <v>31.703014595447982</v>
      </c>
      <c r="AS22" s="8">
        <f t="shared" si="25"/>
        <v>26.628425482797709</v>
      </c>
      <c r="AT22" s="8">
        <f t="shared" si="26"/>
        <v>11.81541450335509</v>
      </c>
      <c r="AU22" s="14">
        <f t="shared" si="27"/>
        <v>100.00000000000001</v>
      </c>
    </row>
    <row r="23" spans="1:189">
      <c r="A23" s="1" t="s">
        <v>108</v>
      </c>
      <c r="B23" s="12">
        <v>90.775000000000006</v>
      </c>
      <c r="C23" s="12">
        <v>2812.4749999999999</v>
      </c>
      <c r="D23" s="12">
        <v>-1236.675</v>
      </c>
      <c r="E23" s="12">
        <v>2812.4749999999999</v>
      </c>
      <c r="F23" s="13" t="s">
        <v>131</v>
      </c>
      <c r="G23" s="12" t="s">
        <v>223</v>
      </c>
      <c r="H23" s="2" t="s">
        <v>192</v>
      </c>
      <c r="I23" s="8">
        <v>0.14097763774776026</v>
      </c>
      <c r="J23" s="8">
        <v>9.4043754952026881E-2</v>
      </c>
      <c r="K23" s="8">
        <v>0.65442943133715004</v>
      </c>
      <c r="L23" s="8">
        <v>0.23099910440949292</v>
      </c>
      <c r="M23" s="8">
        <v>2.2672310568612519</v>
      </c>
      <c r="N23" s="8">
        <v>13.732155778844255</v>
      </c>
      <c r="O23" s="8">
        <v>0.71175919697691448</v>
      </c>
      <c r="P23" s="8"/>
      <c r="Q23" s="8"/>
      <c r="R23" s="8">
        <f t="shared" si="4"/>
        <v>15.999386835705508</v>
      </c>
      <c r="S23" s="8">
        <f t="shared" si="5"/>
        <v>16.711146032682421</v>
      </c>
      <c r="T23" s="8">
        <f t="shared" si="6"/>
        <v>16.942145137091913</v>
      </c>
      <c r="U23" s="8">
        <f t="shared" si="7"/>
        <v>17.119836764151938</v>
      </c>
      <c r="V23" s="8">
        <f t="shared" si="8"/>
        <v>17.831595961128851</v>
      </c>
      <c r="W23" s="8">
        <f t="shared" si="9"/>
        <v>16.230385940114999</v>
      </c>
      <c r="X23" s="8">
        <f t="shared" si="10"/>
        <v>0.8894508240369372</v>
      </c>
      <c r="AA23" s="8">
        <f t="shared" si="11"/>
        <v>0.16510379676540995</v>
      </c>
      <c r="AB23" s="14">
        <f t="shared" si="12"/>
        <v>18.247648438224374</v>
      </c>
      <c r="AE23" s="15">
        <f t="shared" si="13"/>
        <v>2.9007744392543262E-4</v>
      </c>
      <c r="AF23" s="15">
        <f t="shared" si="14"/>
        <v>2.0009309564261038E-4</v>
      </c>
      <c r="AG23" s="15">
        <f t="shared" si="15"/>
        <v>9.4570727071842495E-4</v>
      </c>
      <c r="AH23" s="15">
        <f t="shared" si="16"/>
        <v>1.6382915206347016E-3</v>
      </c>
      <c r="AI23" s="15">
        <f t="shared" si="17"/>
        <v>2.2581982638060277E-3</v>
      </c>
      <c r="AJ23" s="15">
        <f t="shared" si="18"/>
        <v>2.3354006426605876E-2</v>
      </c>
      <c r="AK23" s="15">
        <f t="shared" si="19"/>
        <v>4.8750629929925652E-3</v>
      </c>
      <c r="AN23" s="8">
        <f t="shared" si="20"/>
        <v>0.79060583278736141</v>
      </c>
      <c r="AO23" s="8">
        <f t="shared" si="21"/>
        <v>0.52739953931792272</v>
      </c>
      <c r="AP23" s="8">
        <f t="shared" si="22"/>
        <v>3.6700552926599657</v>
      </c>
      <c r="AQ23" s="8">
        <f t="shared" si="23"/>
        <v>1.295448286923103</v>
      </c>
      <c r="AR23" s="8">
        <f t="shared" si="24"/>
        <v>12.714683878008428</v>
      </c>
      <c r="AS23" s="8">
        <f t="shared" si="25"/>
        <v>77.010245234240514</v>
      </c>
      <c r="AT23" s="8">
        <f t="shared" si="26"/>
        <v>3.9915619360627081</v>
      </c>
      <c r="AU23" s="14">
        <f t="shared" si="27"/>
        <v>100</v>
      </c>
    </row>
    <row r="24" spans="1:189" s="18" customFormat="1">
      <c r="A24" s="1" t="s">
        <v>74</v>
      </c>
      <c r="B24" s="12">
        <v>104.73</v>
      </c>
      <c r="C24" s="12">
        <v>2826.43</v>
      </c>
      <c r="D24" s="12">
        <v>-1250.6299999999999</v>
      </c>
      <c r="E24" s="12">
        <v>2827.6299999999997</v>
      </c>
      <c r="F24" s="13" t="s">
        <v>131</v>
      </c>
      <c r="G24" s="12" t="s">
        <v>294</v>
      </c>
      <c r="H24" s="2" t="s">
        <v>193</v>
      </c>
      <c r="I24" s="8">
        <v>0.13414373325762799</v>
      </c>
      <c r="J24" s="8">
        <v>0.12118297592010251</v>
      </c>
      <c r="K24" s="8">
        <v>0.45915578653887862</v>
      </c>
      <c r="L24" s="8">
        <v>0.93887412662959746</v>
      </c>
      <c r="M24" s="8">
        <v>9.8474581096313329</v>
      </c>
      <c r="N24" s="8">
        <v>29.349733761494896</v>
      </c>
      <c r="O24" s="8">
        <v>1.2347174543818271</v>
      </c>
      <c r="P24" s="8"/>
      <c r="Q24" s="8"/>
      <c r="R24" s="8">
        <f t="shared" si="4"/>
        <v>39.197191871126229</v>
      </c>
      <c r="S24" s="8">
        <f t="shared" si="5"/>
        <v>40.431909325508059</v>
      </c>
      <c r="T24" s="8">
        <f t="shared" si="6"/>
        <v>41.370783452137658</v>
      </c>
      <c r="U24" s="8">
        <f t="shared" si="7"/>
        <v>40.850548493472438</v>
      </c>
      <c r="V24" s="8">
        <f t="shared" si="8"/>
        <v>42.085265947854268</v>
      </c>
      <c r="W24" s="8">
        <f t="shared" si="9"/>
        <v>40.136065997755829</v>
      </c>
      <c r="X24" s="8">
        <f t="shared" si="10"/>
        <v>0.71448249571660916</v>
      </c>
      <c r="Y24" s="8"/>
      <c r="Z24" s="11"/>
      <c r="AA24" s="8">
        <f t="shared" si="11"/>
        <v>0.33552120743768421</v>
      </c>
      <c r="AB24" s="14">
        <f t="shared" si="12"/>
        <v>56.175016516675186</v>
      </c>
      <c r="AC24" s="11"/>
      <c r="AD24" s="11"/>
      <c r="AE24" s="15">
        <f t="shared" si="13"/>
        <v>2.760159120527325E-4</v>
      </c>
      <c r="AF24" s="15">
        <f t="shared" si="14"/>
        <v>2.578361189789415E-4</v>
      </c>
      <c r="AG24" s="15">
        <f t="shared" si="15"/>
        <v>6.6351992274404426E-4</v>
      </c>
      <c r="AH24" s="15">
        <f t="shared" si="16"/>
        <v>6.6586817491460816E-3</v>
      </c>
      <c r="AI24" s="15">
        <f t="shared" si="17"/>
        <v>9.808225208796149E-3</v>
      </c>
      <c r="AJ24" s="15">
        <f t="shared" si="18"/>
        <v>4.991451319982125E-2</v>
      </c>
      <c r="AK24" s="15">
        <f t="shared" si="19"/>
        <v>8.4569688656289527E-3</v>
      </c>
      <c r="AL24" s="11"/>
      <c r="AM24" s="11"/>
      <c r="AN24" s="8">
        <f t="shared" si="20"/>
        <v>0.3187427481718631</v>
      </c>
      <c r="AO24" s="8">
        <f t="shared" si="21"/>
        <v>0.28794632323401315</v>
      </c>
      <c r="AP24" s="8">
        <f t="shared" si="22"/>
        <v>1.0910131519848192</v>
      </c>
      <c r="AQ24" s="8">
        <f t="shared" si="23"/>
        <v>2.2308855735708288</v>
      </c>
      <c r="AR24" s="8">
        <f t="shared" si="24"/>
        <v>23.398825902235767</v>
      </c>
      <c r="AS24" s="8">
        <f t="shared" si="25"/>
        <v>69.7387389635619</v>
      </c>
      <c r="AT24" s="8">
        <f t="shared" si="26"/>
        <v>2.9338473372407892</v>
      </c>
      <c r="AU24" s="14">
        <f t="shared" si="27"/>
        <v>99.999999999999986</v>
      </c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</row>
    <row r="25" spans="1:189" s="18" customFormat="1">
      <c r="A25" s="1" t="s">
        <v>114</v>
      </c>
      <c r="B25" s="12">
        <v>109.3</v>
      </c>
      <c r="C25" s="12">
        <v>2831</v>
      </c>
      <c r="D25" s="12">
        <v>-1255.2</v>
      </c>
      <c r="E25" s="12">
        <v>2832.2</v>
      </c>
      <c r="F25" s="13" t="s">
        <v>131</v>
      </c>
      <c r="G25" s="12" t="s">
        <v>294</v>
      </c>
      <c r="H25" s="2" t="s">
        <v>199</v>
      </c>
      <c r="I25" s="8">
        <v>0.41699178720553159</v>
      </c>
      <c r="J25" s="8">
        <v>0.15103543920305521</v>
      </c>
      <c r="K25" s="8">
        <v>0.5408014915081325</v>
      </c>
      <c r="L25" s="8">
        <v>4.1503440438601267</v>
      </c>
      <c r="M25" s="8">
        <v>75.38393853223721</v>
      </c>
      <c r="N25" s="8">
        <v>4.4819466025060422</v>
      </c>
      <c r="O25" s="8">
        <v>6.8726443792992757</v>
      </c>
      <c r="P25" s="8"/>
      <c r="Q25" s="8"/>
      <c r="R25" s="8">
        <f t="shared" si="4"/>
        <v>79.865885134743252</v>
      </c>
      <c r="S25" s="8">
        <f t="shared" si="5"/>
        <v>86.738529514042526</v>
      </c>
      <c r="T25" s="8">
        <f t="shared" si="6"/>
        <v>90.888873557902656</v>
      </c>
      <c r="U25" s="8">
        <f t="shared" si="7"/>
        <v>85.125057896520104</v>
      </c>
      <c r="V25" s="8">
        <f t="shared" si="8"/>
        <v>91.997702275819378</v>
      </c>
      <c r="W25" s="8">
        <f t="shared" si="9"/>
        <v>84.016229178603382</v>
      </c>
      <c r="X25" s="8">
        <f t="shared" si="10"/>
        <v>1.1088287179167193</v>
      </c>
      <c r="Y25" s="8"/>
      <c r="Z25" s="11"/>
      <c r="AA25" s="8">
        <f t="shared" si="11"/>
        <v>16.819463777209421</v>
      </c>
      <c r="AB25" s="14">
        <f t="shared" si="12"/>
        <v>75.770250013414227</v>
      </c>
      <c r="AC25" s="11"/>
      <c r="AD25" s="11"/>
      <c r="AE25" s="15">
        <f t="shared" si="13"/>
        <v>8.5800779260397446E-4</v>
      </c>
      <c r="AF25" s="15">
        <f t="shared" si="14"/>
        <v>3.2135199830437276E-4</v>
      </c>
      <c r="AG25" s="15">
        <f t="shared" si="15"/>
        <v>7.815050455319834E-4</v>
      </c>
      <c r="AH25" s="15">
        <f t="shared" si="16"/>
        <v>2.9435064140851962E-2</v>
      </c>
      <c r="AI25" s="15">
        <f t="shared" si="17"/>
        <v>7.5083604115774111E-2</v>
      </c>
      <c r="AJ25" s="15">
        <f t="shared" si="18"/>
        <v>7.6223581675272829E-3</v>
      </c>
      <c r="AK25" s="15">
        <f t="shared" si="19"/>
        <v>4.7072906707529283E-2</v>
      </c>
      <c r="AL25" s="11"/>
      <c r="AM25" s="11"/>
      <c r="AN25" s="8">
        <f t="shared" si="20"/>
        <v>0.45326326298383374</v>
      </c>
      <c r="AO25" s="8">
        <f t="shared" si="21"/>
        <v>0.16417305592071649</v>
      </c>
      <c r="AP25" s="8">
        <f t="shared" si="22"/>
        <v>0.58784238967920011</v>
      </c>
      <c r="AQ25" s="8">
        <f t="shared" si="23"/>
        <v>4.5113561982417041</v>
      </c>
      <c r="AR25" s="8">
        <f t="shared" si="24"/>
        <v>81.941110122759099</v>
      </c>
      <c r="AS25" s="8">
        <f t="shared" si="25"/>
        <v>4.871802764234987</v>
      </c>
      <c r="AT25" s="8">
        <f t="shared" si="26"/>
        <v>7.4704522061804557</v>
      </c>
      <c r="AU25" s="14">
        <f t="shared" si="27"/>
        <v>100</v>
      </c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</row>
    <row r="26" spans="1:189" s="18" customFormat="1">
      <c r="A26" s="1" t="s">
        <v>60</v>
      </c>
      <c r="B26" s="12">
        <v>119.54</v>
      </c>
      <c r="C26" s="12">
        <v>2841.25</v>
      </c>
      <c r="D26" s="12">
        <v>-1265.45</v>
      </c>
      <c r="E26" s="12">
        <v>2842.45</v>
      </c>
      <c r="F26" s="13" t="s">
        <v>131</v>
      </c>
      <c r="G26" s="12" t="s">
        <v>294</v>
      </c>
      <c r="H26" s="2" t="s">
        <v>193</v>
      </c>
      <c r="I26" s="8">
        <v>0.14294227047815011</v>
      </c>
      <c r="J26" s="8">
        <v>9.6081137933568483E-2</v>
      </c>
      <c r="K26" s="8">
        <v>0.60954087459475381</v>
      </c>
      <c r="L26" s="8">
        <v>0.52910187411670573</v>
      </c>
      <c r="M26" s="8">
        <v>12.462028527061817</v>
      </c>
      <c r="N26" s="8">
        <v>80.871969749602385</v>
      </c>
      <c r="O26" s="8">
        <v>4.4637777886556664</v>
      </c>
      <c r="P26" s="8"/>
      <c r="Q26" s="8"/>
      <c r="R26" s="8">
        <f>M26+N26</f>
        <v>93.333998276664204</v>
      </c>
      <c r="S26" s="8">
        <f>O26+N26+M26</f>
        <v>97.797776065319866</v>
      </c>
      <c r="T26" s="8">
        <f>L26+M26+N26+O26</f>
        <v>98.326877939436571</v>
      </c>
      <c r="U26" s="8">
        <f>I26+J26+K26+L26+M26+N26</f>
        <v>94.711664433787377</v>
      </c>
      <c r="V26" s="8">
        <f>I26+J26+K26+L26+M26+N26+O26</f>
        <v>99.175442222443039</v>
      </c>
      <c r="W26" s="8">
        <f>M26+N26+L26</f>
        <v>93.863100150780909</v>
      </c>
      <c r="X26" s="8">
        <f>I26+J26+K26</f>
        <v>0.84856428300647235</v>
      </c>
      <c r="Y26" s="8"/>
      <c r="Z26" s="11"/>
      <c r="AA26" s="8">
        <f>M26/N26</f>
        <v>0.15409577095311305</v>
      </c>
      <c r="AB26" s="14">
        <f>W26/X26</f>
        <v>110.61401243312167</v>
      </c>
      <c r="AC26" s="11"/>
      <c r="AD26" s="11"/>
      <c r="AE26" s="15">
        <f t="shared" si="13"/>
        <v>2.9411989810318955E-4</v>
      </c>
      <c r="AF26" s="15">
        <f t="shared" si="14"/>
        <v>2.0442795305014572E-4</v>
      </c>
      <c r="AG26" s="15">
        <f t="shared" si="15"/>
        <v>8.8083941415426851E-4</v>
      </c>
      <c r="AH26" s="15">
        <f t="shared" si="16"/>
        <v>3.752495561111388E-3</v>
      </c>
      <c r="AI26" s="15">
        <f t="shared" si="17"/>
        <v>1.2412379011017745E-2</v>
      </c>
      <c r="AJ26" s="15">
        <f t="shared" si="18"/>
        <v>0.13753736351973195</v>
      </c>
      <c r="AK26" s="15">
        <f t="shared" si="19"/>
        <v>3.057382047024429E-2</v>
      </c>
      <c r="AL26" s="11"/>
      <c r="AM26" s="11"/>
      <c r="AN26" s="8">
        <f t="shared" si="20"/>
        <v>0.14413071146941939</v>
      </c>
      <c r="AO26" s="8">
        <f t="shared" si="21"/>
        <v>9.6879969254955012E-2</v>
      </c>
      <c r="AP26" s="8">
        <f t="shared" si="22"/>
        <v>0.6146086782528275</v>
      </c>
      <c r="AQ26" s="8">
        <f t="shared" si="23"/>
        <v>0.5335008972583859</v>
      </c>
      <c r="AR26" s="8">
        <f t="shared" si="24"/>
        <v>12.56563948473295</v>
      </c>
      <c r="AS26" s="8">
        <f t="shared" si="25"/>
        <v>81.54435002993246</v>
      </c>
      <c r="AT26" s="8">
        <f t="shared" si="26"/>
        <v>4.5008902290990038</v>
      </c>
      <c r="AU26" s="14">
        <f t="shared" si="27"/>
        <v>100</v>
      </c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</row>
    <row r="27" spans="1:189" s="18" customFormat="1">
      <c r="A27" s="1" t="s">
        <v>115</v>
      </c>
      <c r="B27" s="12">
        <v>119.73</v>
      </c>
      <c r="C27" s="12">
        <v>2841.43</v>
      </c>
      <c r="D27" s="12">
        <v>-1265.6299999999999</v>
      </c>
      <c r="E27" s="12">
        <v>2842.6299999999997</v>
      </c>
      <c r="F27" s="13" t="s">
        <v>131</v>
      </c>
      <c r="G27" s="12" t="s">
        <v>295</v>
      </c>
      <c r="H27" s="2" t="s">
        <v>199</v>
      </c>
      <c r="I27" s="8">
        <v>3.4242952973207473E-2</v>
      </c>
      <c r="J27" s="8">
        <v>3.2253182372416998E-2</v>
      </c>
      <c r="K27" s="8">
        <v>1.7885895831278324</v>
      </c>
      <c r="L27" s="8">
        <v>0.83490512483876522</v>
      </c>
      <c r="M27" s="8">
        <v>9.2533142533106023</v>
      </c>
      <c r="N27" s="8">
        <v>44.712919992620357</v>
      </c>
      <c r="O27" s="8">
        <v>7.0772049114149462</v>
      </c>
      <c r="P27" s="8"/>
      <c r="Q27" s="8"/>
      <c r="R27" s="8">
        <f t="shared" si="4"/>
        <v>53.966234245930963</v>
      </c>
      <c r="S27" s="8">
        <f t="shared" si="5"/>
        <v>61.043439157345901</v>
      </c>
      <c r="T27" s="8">
        <f t="shared" si="6"/>
        <v>61.878344282184671</v>
      </c>
      <c r="U27" s="8">
        <f t="shared" si="7"/>
        <v>56.656225089243179</v>
      </c>
      <c r="V27" s="8">
        <f t="shared" si="8"/>
        <v>63.733430000658124</v>
      </c>
      <c r="W27" s="8">
        <f t="shared" si="9"/>
        <v>54.801139370769725</v>
      </c>
      <c r="X27" s="8">
        <f t="shared" si="10"/>
        <v>1.8550857184734568</v>
      </c>
      <c r="Y27" s="8"/>
      <c r="Z27" s="11"/>
      <c r="AA27" s="8">
        <f t="shared" si="11"/>
        <v>0.20694945118408314</v>
      </c>
      <c r="AB27" s="14">
        <f t="shared" si="12"/>
        <v>29.541028118024315</v>
      </c>
      <c r="AC27" s="11"/>
      <c r="AD27" s="11"/>
      <c r="AE27" s="15">
        <f t="shared" si="13"/>
        <v>7.0458750973677932E-5</v>
      </c>
      <c r="AF27" s="15">
        <f t="shared" si="14"/>
        <v>6.86237922817383E-5</v>
      </c>
      <c r="AG27" s="15">
        <f t="shared" si="15"/>
        <v>2.5846670276413763E-3</v>
      </c>
      <c r="AH27" s="15">
        <f t="shared" si="16"/>
        <v>5.9213129421189026E-3</v>
      </c>
      <c r="AI27" s="15">
        <f t="shared" si="17"/>
        <v>9.216448459472712E-3</v>
      </c>
      <c r="AJ27" s="15">
        <f t="shared" si="18"/>
        <v>7.6042380939830539E-2</v>
      </c>
      <c r="AK27" s="15">
        <f t="shared" si="19"/>
        <v>4.8474006242568125E-2</v>
      </c>
      <c r="AL27" s="11"/>
      <c r="AM27" s="11"/>
      <c r="AN27" s="8">
        <f t="shared" si="20"/>
        <v>5.3728401206170569E-2</v>
      </c>
      <c r="AO27" s="8">
        <f t="shared" si="21"/>
        <v>5.0606380940244305E-2</v>
      </c>
      <c r="AP27" s="8">
        <f t="shared" si="22"/>
        <v>2.8063601521357993</v>
      </c>
      <c r="AQ27" s="8">
        <f t="shared" si="23"/>
        <v>1.3099955938824317</v>
      </c>
      <c r="AR27" s="8">
        <f t="shared" si="24"/>
        <v>14.518776493301946</v>
      </c>
      <c r="AS27" s="8">
        <f t="shared" si="25"/>
        <v>70.15614880943744</v>
      </c>
      <c r="AT27" s="8">
        <f t="shared" si="26"/>
        <v>11.104384169095978</v>
      </c>
      <c r="AU27" s="14">
        <f t="shared" si="27"/>
        <v>100.00000000000001</v>
      </c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</row>
    <row r="28" spans="1:189">
      <c r="A28" s="1" t="s">
        <v>9</v>
      </c>
      <c r="B28" s="12">
        <v>119.89</v>
      </c>
      <c r="C28" s="12">
        <v>2841.5899999999997</v>
      </c>
      <c r="D28" s="12">
        <v>-1265.7899999999997</v>
      </c>
      <c r="E28" s="12">
        <v>2842.7899999999995</v>
      </c>
      <c r="F28" s="13" t="s">
        <v>131</v>
      </c>
      <c r="G28" s="12" t="s">
        <v>289</v>
      </c>
      <c r="H28" s="2" t="s">
        <v>188</v>
      </c>
      <c r="I28" s="8">
        <v>0.22047119451498962</v>
      </c>
      <c r="J28" s="8">
        <v>0.20117953021893498</v>
      </c>
      <c r="K28" s="8">
        <v>1.1661499922033789</v>
      </c>
      <c r="L28" s="8">
        <v>0.62306036162606782</v>
      </c>
      <c r="M28" s="8">
        <v>12.946901441178248</v>
      </c>
      <c r="N28" s="8">
        <v>22.381261405644711</v>
      </c>
      <c r="O28" s="8">
        <v>2.266683160899857</v>
      </c>
      <c r="P28" s="8"/>
      <c r="Q28" s="8"/>
      <c r="R28" s="8">
        <f t="shared" si="4"/>
        <v>35.328162846822963</v>
      </c>
      <c r="S28" s="8">
        <f t="shared" si="5"/>
        <v>37.594846007722815</v>
      </c>
      <c r="T28" s="8">
        <f t="shared" si="6"/>
        <v>38.217906369348889</v>
      </c>
      <c r="U28" s="8">
        <f t="shared" si="7"/>
        <v>37.539023925386331</v>
      </c>
      <c r="V28" s="8">
        <f t="shared" si="8"/>
        <v>39.805707086286191</v>
      </c>
      <c r="W28" s="8">
        <f t="shared" si="9"/>
        <v>35.951223208449029</v>
      </c>
      <c r="X28" s="8">
        <f t="shared" si="10"/>
        <v>1.5878007169373034</v>
      </c>
      <c r="AA28" s="8">
        <f t="shared" si="11"/>
        <v>0.57847058780667959</v>
      </c>
      <c r="AB28" s="14">
        <f t="shared" si="12"/>
        <v>22.642150759192923</v>
      </c>
      <c r="AE28" s="15">
        <f t="shared" si="13"/>
        <v>4.5364443315841485E-4</v>
      </c>
      <c r="AF28" s="15">
        <f t="shared" si="14"/>
        <v>4.2804155365730847E-4</v>
      </c>
      <c r="AG28" s="15">
        <f t="shared" si="15"/>
        <v>1.6851878500048828E-3</v>
      </c>
      <c r="AH28" s="15">
        <f t="shared" si="16"/>
        <v>4.4188678129508359E-3</v>
      </c>
      <c r="AI28" s="15">
        <f t="shared" si="17"/>
        <v>1.2895320160536104E-2</v>
      </c>
      <c r="AJ28" s="15">
        <f t="shared" si="18"/>
        <v>3.8063369737491005E-2</v>
      </c>
      <c r="AK28" s="15">
        <f t="shared" si="19"/>
        <v>1.5525227129451076E-2</v>
      </c>
      <c r="AN28" s="8">
        <f t="shared" si="20"/>
        <v>0.55386830344974847</v>
      </c>
      <c r="AO28" s="8">
        <f t="shared" si="21"/>
        <v>0.50540373465252442</v>
      </c>
      <c r="AP28" s="8">
        <f t="shared" si="22"/>
        <v>2.929605017882321</v>
      </c>
      <c r="AQ28" s="8">
        <f t="shared" si="23"/>
        <v>1.5652538473326698</v>
      </c>
      <c r="AR28" s="8">
        <f t="shared" si="24"/>
        <v>32.525239190233343</v>
      </c>
      <c r="AS28" s="8">
        <f t="shared" si="25"/>
        <v>56.226262623922771</v>
      </c>
      <c r="AT28" s="8">
        <f t="shared" si="26"/>
        <v>5.6943672825266098</v>
      </c>
      <c r="AU28" s="14">
        <f t="shared" si="27"/>
        <v>99.999999999999986</v>
      </c>
    </row>
    <row r="29" spans="1:189">
      <c r="A29" s="1" t="s">
        <v>100</v>
      </c>
      <c r="B29" s="12">
        <v>120.4</v>
      </c>
      <c r="C29" s="12">
        <v>2842.0499999999997</v>
      </c>
      <c r="D29" s="12">
        <v>-1266.2499999999998</v>
      </c>
      <c r="E29" s="12">
        <v>2843.2499999999995</v>
      </c>
      <c r="F29" s="13" t="s">
        <v>131</v>
      </c>
      <c r="G29" s="12" t="s">
        <v>25</v>
      </c>
      <c r="H29" s="2" t="s">
        <v>192</v>
      </c>
      <c r="I29" s="8">
        <v>0.19947856225533422</v>
      </c>
      <c r="J29" s="8">
        <v>0.20500040959122789</v>
      </c>
      <c r="K29" s="8">
        <v>4.0595347766006427</v>
      </c>
      <c r="L29" s="8">
        <v>1.3489460355774239</v>
      </c>
      <c r="M29" s="8">
        <v>11.976678324594737</v>
      </c>
      <c r="N29" s="8">
        <v>21.808576451246168</v>
      </c>
      <c r="O29" s="8">
        <v>1.6240291209940547</v>
      </c>
      <c r="P29" s="8"/>
      <c r="Q29" s="8"/>
      <c r="R29" s="8">
        <f t="shared" si="4"/>
        <v>33.785254775840905</v>
      </c>
      <c r="S29" s="8">
        <f t="shared" si="5"/>
        <v>35.409283896834964</v>
      </c>
      <c r="T29" s="8">
        <f t="shared" si="6"/>
        <v>36.758229932412377</v>
      </c>
      <c r="U29" s="8">
        <f t="shared" si="7"/>
        <v>39.598214559865532</v>
      </c>
      <c r="V29" s="8">
        <f t="shared" si="8"/>
        <v>41.222243680859584</v>
      </c>
      <c r="W29" s="8">
        <f t="shared" si="9"/>
        <v>35.134200811418332</v>
      </c>
      <c r="X29" s="8">
        <f t="shared" si="10"/>
        <v>4.4640137484472051</v>
      </c>
      <c r="AA29" s="8">
        <f t="shared" si="11"/>
        <v>0.54917286102414886</v>
      </c>
      <c r="AB29" s="14">
        <f t="shared" si="12"/>
        <v>7.8705404578199758</v>
      </c>
      <c r="AE29" s="15">
        <f t="shared" si="13"/>
        <v>4.1044971657476178E-4</v>
      </c>
      <c r="AF29" s="15">
        <f t="shared" si="14"/>
        <v>4.3617108423665509E-4</v>
      </c>
      <c r="AG29" s="15">
        <f t="shared" si="15"/>
        <v>5.8663797349720274E-3</v>
      </c>
      <c r="AH29" s="15">
        <f t="shared" si="16"/>
        <v>9.5669931601235735E-3</v>
      </c>
      <c r="AI29" s="15">
        <f t="shared" si="17"/>
        <v>1.1928962474695952E-2</v>
      </c>
      <c r="AJ29" s="15">
        <f t="shared" si="18"/>
        <v>3.7089415733411853E-2</v>
      </c>
      <c r="AK29" s="15">
        <f t="shared" si="19"/>
        <v>1.1123487130096265E-2</v>
      </c>
      <c r="AN29" s="8">
        <f t="shared" si="20"/>
        <v>0.48391000693627118</v>
      </c>
      <c r="AO29" s="8">
        <f t="shared" si="21"/>
        <v>0.49730531695055258</v>
      </c>
      <c r="AP29" s="8">
        <f t="shared" si="22"/>
        <v>9.8479229030553128</v>
      </c>
      <c r="AQ29" s="8">
        <f t="shared" si="23"/>
        <v>3.2723741240794464</v>
      </c>
      <c r="AR29" s="8">
        <f t="shared" si="24"/>
        <v>29.053921512175666</v>
      </c>
      <c r="AS29" s="8">
        <f t="shared" si="25"/>
        <v>52.904874902217855</v>
      </c>
      <c r="AT29" s="8">
        <f t="shared" si="26"/>
        <v>3.9396912345849047</v>
      </c>
      <c r="AU29" s="14">
        <f t="shared" si="27"/>
        <v>100</v>
      </c>
    </row>
    <row r="30" spans="1:189" s="18" customFormat="1">
      <c r="A30" s="1" t="s">
        <v>75</v>
      </c>
      <c r="B30" s="12">
        <v>128.63999999999999</v>
      </c>
      <c r="C30" s="12">
        <v>2850.3399999999997</v>
      </c>
      <c r="D30" s="12">
        <v>-1274.5399999999997</v>
      </c>
      <c r="E30" s="12">
        <v>2851.5399999999995</v>
      </c>
      <c r="F30" s="13" t="s">
        <v>131</v>
      </c>
      <c r="G30" s="12" t="s">
        <v>294</v>
      </c>
      <c r="H30" s="2" t="s">
        <v>193</v>
      </c>
      <c r="I30" s="8">
        <v>0.1054900754593176</v>
      </c>
      <c r="J30" s="8">
        <v>5.7632258858267713E-2</v>
      </c>
      <c r="K30" s="8">
        <v>0.52331610892388447</v>
      </c>
      <c r="L30" s="8">
        <v>0.31030716863517055</v>
      </c>
      <c r="M30" s="8">
        <v>5.9990046751968507</v>
      </c>
      <c r="N30" s="8">
        <v>4.7891002296587928</v>
      </c>
      <c r="O30" s="8">
        <v>3.0820723220144357</v>
      </c>
      <c r="P30" s="8"/>
      <c r="Q30" s="8"/>
      <c r="R30" s="8">
        <f t="shared" si="4"/>
        <v>10.788104904855643</v>
      </c>
      <c r="S30" s="8">
        <f t="shared" si="5"/>
        <v>13.87017722687008</v>
      </c>
      <c r="T30" s="8">
        <f t="shared" si="6"/>
        <v>14.18048439550525</v>
      </c>
      <c r="U30" s="8">
        <f t="shared" si="7"/>
        <v>11.784850516732284</v>
      </c>
      <c r="V30" s="8">
        <f t="shared" si="8"/>
        <v>14.866922838746721</v>
      </c>
      <c r="W30" s="8">
        <f t="shared" si="9"/>
        <v>11.098412073490813</v>
      </c>
      <c r="X30" s="8">
        <f t="shared" si="10"/>
        <v>0.68643844324146985</v>
      </c>
      <c r="Y30" s="8"/>
      <c r="Z30" s="11"/>
      <c r="AA30" s="8">
        <f t="shared" si="11"/>
        <v>1.2526371108387222</v>
      </c>
      <c r="AB30" s="14">
        <f t="shared" si="12"/>
        <v>16.168109730396761</v>
      </c>
      <c r="AC30" s="11"/>
      <c r="AD30" s="11"/>
      <c r="AE30" s="15">
        <f t="shared" si="13"/>
        <v>2.1705776843480989E-4</v>
      </c>
      <c r="AF30" s="15">
        <f t="shared" si="14"/>
        <v>1.2262182735801641E-4</v>
      </c>
      <c r="AG30" s="15">
        <f t="shared" si="15"/>
        <v>7.562371516241105E-4</v>
      </c>
      <c r="AH30" s="15">
        <f t="shared" si="16"/>
        <v>2.2007600612423445E-3</v>
      </c>
      <c r="AI30" s="15">
        <f t="shared" si="17"/>
        <v>5.9751042581641942E-3</v>
      </c>
      <c r="AJ30" s="15">
        <f t="shared" si="18"/>
        <v>8.1447282817326411E-3</v>
      </c>
      <c r="AK30" s="15">
        <f t="shared" si="19"/>
        <v>2.111008439735915E-2</v>
      </c>
      <c r="AL30" s="11"/>
      <c r="AM30" s="11"/>
      <c r="AN30" s="8">
        <f t="shared" si="20"/>
        <v>0.70956227192076016</v>
      </c>
      <c r="AO30" s="8">
        <f t="shared" si="21"/>
        <v>0.38765425423520999</v>
      </c>
      <c r="AP30" s="8">
        <f t="shared" si="22"/>
        <v>3.5200028586951349</v>
      </c>
      <c r="AQ30" s="8">
        <f t="shared" si="23"/>
        <v>2.0872319847281147</v>
      </c>
      <c r="AR30" s="8">
        <f t="shared" si="24"/>
        <v>40.351354078209276</v>
      </c>
      <c r="AS30" s="8">
        <f t="shared" si="25"/>
        <v>32.213123600650327</v>
      </c>
      <c r="AT30" s="8">
        <f t="shared" si="26"/>
        <v>20.731070951561176</v>
      </c>
      <c r="AU30" s="14">
        <f t="shared" si="27"/>
        <v>100</v>
      </c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</row>
    <row r="31" spans="1:189" s="18" customFormat="1">
      <c r="A31" s="1" t="s">
        <v>76</v>
      </c>
      <c r="B31" s="12">
        <v>142</v>
      </c>
      <c r="C31" s="12">
        <v>2863.7</v>
      </c>
      <c r="D31" s="12">
        <v>-1287.8999999999999</v>
      </c>
      <c r="E31" s="12">
        <v>2879.5099999999998</v>
      </c>
      <c r="F31" s="13" t="s">
        <v>131</v>
      </c>
      <c r="G31" s="12" t="s">
        <v>294</v>
      </c>
      <c r="H31" s="2" t="s">
        <v>193</v>
      </c>
      <c r="I31" s="8">
        <v>0.15744066901005899</v>
      </c>
      <c r="J31" s="8">
        <v>0.14642841077960678</v>
      </c>
      <c r="K31" s="8">
        <v>1.1500314270393295</v>
      </c>
      <c r="L31" s="8">
        <v>0.56057713409233356</v>
      </c>
      <c r="M31" s="8">
        <v>8.1000331782718415</v>
      </c>
      <c r="N31" s="8">
        <v>12.535981466794006</v>
      </c>
      <c r="O31" s="8">
        <v>1.3161503868177387</v>
      </c>
      <c r="P31" s="8"/>
      <c r="Q31" s="8"/>
      <c r="R31" s="8">
        <f t="shared" si="4"/>
        <v>20.636014645065849</v>
      </c>
      <c r="S31" s="8">
        <f t="shared" si="5"/>
        <v>21.952165031883588</v>
      </c>
      <c r="T31" s="8">
        <f t="shared" si="6"/>
        <v>22.512742165975922</v>
      </c>
      <c r="U31" s="8">
        <f t="shared" si="7"/>
        <v>22.650492285987177</v>
      </c>
      <c r="V31" s="8">
        <f t="shared" si="8"/>
        <v>23.966642672804916</v>
      </c>
      <c r="W31" s="8">
        <f t="shared" si="9"/>
        <v>21.196591779158183</v>
      </c>
      <c r="X31" s="8">
        <f t="shared" si="10"/>
        <v>1.4539005068289952</v>
      </c>
      <c r="Y31" s="8"/>
      <c r="Z31" s="11"/>
      <c r="AA31" s="8">
        <f t="shared" si="11"/>
        <v>0.64614272123229066</v>
      </c>
      <c r="AB31" s="14">
        <f t="shared" si="12"/>
        <v>14.579121253206415</v>
      </c>
      <c r="AC31" s="11"/>
      <c r="AD31" s="11"/>
      <c r="AE31" s="15">
        <f t="shared" si="13"/>
        <v>3.2395199384785802E-4</v>
      </c>
      <c r="AF31" s="15">
        <f t="shared" si="14"/>
        <v>3.1154981016937613E-4</v>
      </c>
      <c r="AG31" s="15">
        <f t="shared" si="15"/>
        <v>1.6618951257793778E-3</v>
      </c>
      <c r="AH31" s="15">
        <f t="shared" si="16"/>
        <v>3.9757243552647767E-3</v>
      </c>
      <c r="AI31" s="15">
        <f t="shared" si="17"/>
        <v>8.0677621297528309E-3</v>
      </c>
      <c r="AJ31" s="15">
        <f t="shared" si="18"/>
        <v>2.131969637209865E-2</v>
      </c>
      <c r="AK31" s="15">
        <f t="shared" si="19"/>
        <v>9.0147286768338265E-3</v>
      </c>
      <c r="AL31" s="11"/>
      <c r="AM31" s="11"/>
      <c r="AN31" s="8">
        <f t="shared" si="20"/>
        <v>0.65691582738331478</v>
      </c>
      <c r="AO31" s="8">
        <f t="shared" si="21"/>
        <v>0.61096755510841716</v>
      </c>
      <c r="AP31" s="8">
        <f t="shared" si="22"/>
        <v>4.79846694733041</v>
      </c>
      <c r="AQ31" s="8">
        <f t="shared" si="23"/>
        <v>2.3389889929323457</v>
      </c>
      <c r="AR31" s="8">
        <f t="shared" si="24"/>
        <v>33.797112465247352</v>
      </c>
      <c r="AS31" s="8">
        <f t="shared" si="25"/>
        <v>52.305955564726027</v>
      </c>
      <c r="AT31" s="8">
        <f t="shared" si="26"/>
        <v>5.4915926472721264</v>
      </c>
      <c r="AU31" s="14">
        <f t="shared" si="27"/>
        <v>99.999999999999986</v>
      </c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</row>
    <row r="32" spans="1:189" s="18" customFormat="1">
      <c r="A32" s="1" t="s">
        <v>101</v>
      </c>
      <c r="B32" s="12">
        <v>142.82</v>
      </c>
      <c r="C32" s="12">
        <v>2855.1899999999996</v>
      </c>
      <c r="D32" s="12">
        <v>-1279.3899999999996</v>
      </c>
      <c r="E32" s="12">
        <v>2856.3899999999994</v>
      </c>
      <c r="F32" s="13" t="s">
        <v>131</v>
      </c>
      <c r="G32" s="12" t="s">
        <v>223</v>
      </c>
      <c r="H32" s="2" t="s">
        <v>192</v>
      </c>
      <c r="I32" s="8">
        <v>0.12509736877107291</v>
      </c>
      <c r="J32" s="8">
        <v>0.22600606845122975</v>
      </c>
      <c r="K32" s="8">
        <v>1.8899639082017472</v>
      </c>
      <c r="L32" s="8">
        <v>0.44640465277219782</v>
      </c>
      <c r="M32" s="8">
        <v>9.0646797612147658</v>
      </c>
      <c r="N32" s="8">
        <v>28.917449076722392</v>
      </c>
      <c r="O32" s="8">
        <v>0.28841478814395161</v>
      </c>
      <c r="P32" s="8"/>
      <c r="Q32" s="8"/>
      <c r="R32" s="8">
        <f t="shared" si="4"/>
        <v>37.982128837937154</v>
      </c>
      <c r="S32" s="8">
        <f t="shared" si="5"/>
        <v>38.270543626081107</v>
      </c>
      <c r="T32" s="8">
        <f t="shared" si="6"/>
        <v>38.716948278853309</v>
      </c>
      <c r="U32" s="8">
        <f t="shared" si="7"/>
        <v>40.669600836133405</v>
      </c>
      <c r="V32" s="8">
        <f t="shared" si="8"/>
        <v>40.958015624277358</v>
      </c>
      <c r="W32" s="8">
        <f t="shared" si="9"/>
        <v>38.428533490709349</v>
      </c>
      <c r="X32" s="8">
        <f t="shared" si="10"/>
        <v>2.24106734542405</v>
      </c>
      <c r="Y32" s="8"/>
      <c r="Z32" s="11"/>
      <c r="AA32" s="8">
        <f t="shared" si="11"/>
        <v>0.3134674755427006</v>
      </c>
      <c r="AB32" s="14">
        <f t="shared" si="12"/>
        <v>17.147424672076504</v>
      </c>
      <c r="AC32" s="11"/>
      <c r="AD32" s="11"/>
      <c r="AE32" s="15">
        <f t="shared" si="13"/>
        <v>2.5740199335611713E-4</v>
      </c>
      <c r="AF32" s="15">
        <f t="shared" si="14"/>
        <v>4.808639754281484E-4</v>
      </c>
      <c r="AG32" s="15">
        <f t="shared" si="15"/>
        <v>2.7311617170545479E-3</v>
      </c>
      <c r="AH32" s="15">
        <f t="shared" si="16"/>
        <v>3.1659904451928921E-3</v>
      </c>
      <c r="AI32" s="15">
        <f t="shared" si="17"/>
        <v>9.028565499217895E-3</v>
      </c>
      <c r="AJ32" s="15">
        <f t="shared" si="18"/>
        <v>4.9179335164493861E-2</v>
      </c>
      <c r="AK32" s="15">
        <f t="shared" si="19"/>
        <v>1.9754437544106276E-3</v>
      </c>
      <c r="AL32" s="11"/>
      <c r="AM32" s="11"/>
      <c r="AN32" s="8">
        <f t="shared" si="20"/>
        <v>0.30542829496095752</v>
      </c>
      <c r="AO32" s="8">
        <f t="shared" si="21"/>
        <v>0.55179936089791282</v>
      </c>
      <c r="AP32" s="8">
        <f t="shared" si="22"/>
        <v>4.6143932497586491</v>
      </c>
      <c r="AQ32" s="8">
        <f t="shared" si="23"/>
        <v>1.0899079117192312</v>
      </c>
      <c r="AR32" s="8">
        <f t="shared" si="24"/>
        <v>22.131638027506852</v>
      </c>
      <c r="AS32" s="8">
        <f t="shared" si="25"/>
        <v>70.602661374009372</v>
      </c>
      <c r="AT32" s="8">
        <f t="shared" si="26"/>
        <v>0.70417178114702728</v>
      </c>
      <c r="AU32" s="14">
        <f t="shared" si="27"/>
        <v>100</v>
      </c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</row>
    <row r="33" spans="1:189" s="18" customFormat="1">
      <c r="A33" s="1" t="s">
        <v>77</v>
      </c>
      <c r="B33" s="12">
        <v>143.30000000000001</v>
      </c>
      <c r="C33" s="12">
        <v>2864.5699999999997</v>
      </c>
      <c r="D33" s="12">
        <v>-1288.7699999999998</v>
      </c>
      <c r="E33" s="12">
        <v>2880.3799999999997</v>
      </c>
      <c r="F33" s="13" t="s">
        <v>131</v>
      </c>
      <c r="G33" s="12" t="s">
        <v>290</v>
      </c>
      <c r="H33" s="2" t="s">
        <v>193</v>
      </c>
      <c r="I33" s="8">
        <v>9.4342359933088316E-2</v>
      </c>
      <c r="J33" s="8">
        <v>0.13715793604514101</v>
      </c>
      <c r="K33" s="8">
        <v>0.78346428673879998</v>
      </c>
      <c r="L33" s="8">
        <v>0.43132020362553297</v>
      </c>
      <c r="M33" s="8">
        <v>3.9676274042688013</v>
      </c>
      <c r="N33" s="8">
        <v>7.5913986466489147</v>
      </c>
      <c r="O33" s="8">
        <v>0.40180117621702138</v>
      </c>
      <c r="P33" s="8"/>
      <c r="Q33" s="8"/>
      <c r="R33" s="8">
        <f t="shared" si="4"/>
        <v>11.559026050917716</v>
      </c>
      <c r="S33" s="8">
        <f t="shared" si="5"/>
        <v>11.960827227134738</v>
      </c>
      <c r="T33" s="8">
        <f t="shared" si="6"/>
        <v>12.392147430760271</v>
      </c>
      <c r="U33" s="8">
        <f t="shared" si="7"/>
        <v>13.005310837260279</v>
      </c>
      <c r="V33" s="8">
        <f t="shared" si="8"/>
        <v>13.407112013477301</v>
      </c>
      <c r="W33" s="8">
        <f t="shared" si="9"/>
        <v>11.990346254543249</v>
      </c>
      <c r="X33" s="8">
        <f t="shared" si="10"/>
        <v>1.0149645827170293</v>
      </c>
      <c r="Y33" s="8"/>
      <c r="Z33" s="11"/>
      <c r="AA33" s="8">
        <f t="shared" si="11"/>
        <v>0.52264774766112942</v>
      </c>
      <c r="AB33" s="14">
        <f t="shared" si="12"/>
        <v>11.813561240181857</v>
      </c>
      <c r="AC33" s="11"/>
      <c r="AD33" s="11"/>
      <c r="AE33" s="15">
        <f t="shared" si="13"/>
        <v>1.9412008216684838E-4</v>
      </c>
      <c r="AF33" s="15">
        <f t="shared" si="14"/>
        <v>2.9182539584072555E-4</v>
      </c>
      <c r="AG33" s="15">
        <f t="shared" si="15"/>
        <v>1.132173824767052E-3</v>
      </c>
      <c r="AH33" s="15">
        <f t="shared" si="16"/>
        <v>3.0590085363512978E-3</v>
      </c>
      <c r="AI33" s="15">
        <f t="shared" si="17"/>
        <v>3.9518201237737065E-3</v>
      </c>
      <c r="AJ33" s="15">
        <f t="shared" si="18"/>
        <v>1.2910541916069582E-2</v>
      </c>
      <c r="AK33" s="15">
        <f t="shared" si="19"/>
        <v>2.7520628508015165E-3</v>
      </c>
      <c r="AL33" s="11"/>
      <c r="AM33" s="11"/>
      <c r="AN33" s="8">
        <f t="shared" si="20"/>
        <v>0.70367398913540857</v>
      </c>
      <c r="AO33" s="8">
        <f t="shared" si="21"/>
        <v>1.0230237198530527</v>
      </c>
      <c r="AP33" s="8">
        <f t="shared" si="22"/>
        <v>5.8436469088289416</v>
      </c>
      <c r="AQ33" s="8">
        <f t="shared" si="23"/>
        <v>3.2171000226741953</v>
      </c>
      <c r="AR33" s="8">
        <f t="shared" si="24"/>
        <v>29.593453088781558</v>
      </c>
      <c r="AS33" s="8">
        <f t="shared" si="25"/>
        <v>56.622176640411247</v>
      </c>
      <c r="AT33" s="8">
        <f t="shared" si="26"/>
        <v>2.9969256303155869</v>
      </c>
      <c r="AU33" s="14">
        <f t="shared" si="27"/>
        <v>100</v>
      </c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</row>
    <row r="34" spans="1:189" s="18" customFormat="1">
      <c r="A34" s="1" t="s">
        <v>78</v>
      </c>
      <c r="B34" s="12">
        <v>149</v>
      </c>
      <c r="C34" s="12">
        <v>2865</v>
      </c>
      <c r="D34" s="12">
        <v>-1289.2</v>
      </c>
      <c r="E34" s="12">
        <v>2880.81</v>
      </c>
      <c r="F34" s="13" t="s">
        <v>131</v>
      </c>
      <c r="G34" s="12" t="s">
        <v>291</v>
      </c>
      <c r="H34" s="2" t="s">
        <v>193</v>
      </c>
      <c r="I34" s="8">
        <v>5.4556513839107999E-2</v>
      </c>
      <c r="J34" s="8">
        <v>6.2088230535643177E-2</v>
      </c>
      <c r="K34" s="8">
        <v>0.21062279847979232</v>
      </c>
      <c r="L34" s="8">
        <v>0.53503157341142682</v>
      </c>
      <c r="M34" s="8">
        <v>6.8194854711008599</v>
      </c>
      <c r="N34" s="8">
        <v>14.259090693676905</v>
      </c>
      <c r="O34" s="8">
        <v>1.6621340062606107</v>
      </c>
      <c r="P34" s="8"/>
      <c r="Q34" s="8"/>
      <c r="R34" s="8">
        <f t="shared" si="4"/>
        <v>21.078576164777765</v>
      </c>
      <c r="S34" s="8">
        <f t="shared" si="5"/>
        <v>22.740710171038373</v>
      </c>
      <c r="T34" s="8">
        <f t="shared" si="6"/>
        <v>23.275741744449803</v>
      </c>
      <c r="U34" s="8">
        <f t="shared" si="7"/>
        <v>21.940875281043734</v>
      </c>
      <c r="V34" s="8">
        <f t="shared" si="8"/>
        <v>23.603009287304346</v>
      </c>
      <c r="W34" s="8">
        <f t="shared" si="9"/>
        <v>21.613607738189192</v>
      </c>
      <c r="X34" s="8">
        <f t="shared" si="10"/>
        <v>0.32726754285454351</v>
      </c>
      <c r="Y34" s="8"/>
      <c r="Z34" s="11"/>
      <c r="AA34" s="8">
        <f t="shared" si="11"/>
        <v>0.47825528412726298</v>
      </c>
      <c r="AB34" s="14">
        <f t="shared" si="12"/>
        <v>66.042625399597057</v>
      </c>
      <c r="AC34" s="11"/>
      <c r="AD34" s="11"/>
      <c r="AE34" s="15">
        <f t="shared" si="13"/>
        <v>1.1225620131503703E-4</v>
      </c>
      <c r="AF34" s="15">
        <f t="shared" si="14"/>
        <v>1.3210261816094294E-4</v>
      </c>
      <c r="AG34" s="15">
        <f t="shared" si="15"/>
        <v>3.0436820589565362E-4</v>
      </c>
      <c r="AH34" s="15">
        <f t="shared" si="16"/>
        <v>3.7945501660384879E-3</v>
      </c>
      <c r="AI34" s="15">
        <f t="shared" si="17"/>
        <v>6.7923162062757565E-3</v>
      </c>
      <c r="AJ34" s="15">
        <f t="shared" si="18"/>
        <v>2.4250154240947116E-2</v>
      </c>
      <c r="AK34" s="15">
        <f t="shared" si="19"/>
        <v>1.1384479494935689E-2</v>
      </c>
      <c r="AL34" s="11"/>
      <c r="AM34" s="11"/>
      <c r="AN34" s="8">
        <f t="shared" si="20"/>
        <v>0.23114219536596553</v>
      </c>
      <c r="AO34" s="8">
        <f t="shared" si="21"/>
        <v>0.2630521802533009</v>
      </c>
      <c r="AP34" s="8">
        <f t="shared" si="22"/>
        <v>0.89235569886879929</v>
      </c>
      <c r="AQ34" s="8">
        <f t="shared" si="23"/>
        <v>2.2667938943667285</v>
      </c>
      <c r="AR34" s="8">
        <f t="shared" si="24"/>
        <v>28.892440739617658</v>
      </c>
      <c r="AS34" s="8">
        <f t="shared" si="25"/>
        <v>60.412172533214338</v>
      </c>
      <c r="AT34" s="8">
        <f t="shared" si="26"/>
        <v>7.0420427583132126</v>
      </c>
      <c r="AU34" s="14">
        <f t="shared" si="27"/>
        <v>100</v>
      </c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</row>
    <row r="35" spans="1:189" s="18" customFormat="1">
      <c r="A35" s="1" t="s">
        <v>79</v>
      </c>
      <c r="B35" s="12">
        <v>159.80000000000001</v>
      </c>
      <c r="C35" s="12">
        <v>2881.5</v>
      </c>
      <c r="D35" s="12">
        <v>-1305.7</v>
      </c>
      <c r="E35" s="12">
        <v>2898.06</v>
      </c>
      <c r="F35" s="13" t="s">
        <v>131</v>
      </c>
      <c r="G35" s="12" t="s">
        <v>223</v>
      </c>
      <c r="H35" s="2" t="s">
        <v>193</v>
      </c>
      <c r="I35" s="8">
        <v>9.4916628182208307E-2</v>
      </c>
      <c r="J35" s="8">
        <v>0.13923172272776038</v>
      </c>
      <c r="K35" s="8">
        <v>2.51015706428529</v>
      </c>
      <c r="L35" s="8">
        <v>0.67836424378749682</v>
      </c>
      <c r="M35" s="8">
        <v>5.3619776695545882</v>
      </c>
      <c r="N35" s="8">
        <v>9.9054725114375053</v>
      </c>
      <c r="O35" s="8">
        <v>2.9127494672023846</v>
      </c>
      <c r="P35" s="8"/>
      <c r="Q35" s="8"/>
      <c r="R35" s="8">
        <f t="shared" si="4"/>
        <v>15.267450180992093</v>
      </c>
      <c r="S35" s="8">
        <f t="shared" si="5"/>
        <v>18.180199648194478</v>
      </c>
      <c r="T35" s="8">
        <f t="shared" si="6"/>
        <v>18.858563891981976</v>
      </c>
      <c r="U35" s="8">
        <f t="shared" si="7"/>
        <v>18.690119839974848</v>
      </c>
      <c r="V35" s="8">
        <f t="shared" si="8"/>
        <v>21.602869307177233</v>
      </c>
      <c r="W35" s="8">
        <f t="shared" si="9"/>
        <v>15.94581442477959</v>
      </c>
      <c r="X35" s="8">
        <f t="shared" si="10"/>
        <v>2.7443054151952588</v>
      </c>
      <c r="Y35" s="8"/>
      <c r="Z35" s="11"/>
      <c r="AA35" s="8">
        <f t="shared" si="11"/>
        <v>0.54131467866508121</v>
      </c>
      <c r="AB35" s="14">
        <f t="shared" si="12"/>
        <v>5.8105101336343195</v>
      </c>
      <c r="AC35" s="11"/>
      <c r="AD35" s="11"/>
      <c r="AE35" s="15">
        <f t="shared" si="13"/>
        <v>1.9530170407861791E-4</v>
      </c>
      <c r="AF35" s="15">
        <f t="shared" si="14"/>
        <v>2.9623770793140504E-4</v>
      </c>
      <c r="AG35" s="15">
        <f t="shared" si="15"/>
        <v>3.627394601568338E-3</v>
      </c>
      <c r="AH35" s="15">
        <f t="shared" si="16"/>
        <v>4.8110939275708992E-3</v>
      </c>
      <c r="AI35" s="15">
        <f t="shared" si="17"/>
        <v>5.340615208719709E-3</v>
      </c>
      <c r="AJ35" s="15">
        <f t="shared" si="18"/>
        <v>1.6846041686118206E-2</v>
      </c>
      <c r="AK35" s="15">
        <f t="shared" si="19"/>
        <v>1.995033881645469E-2</v>
      </c>
      <c r="AL35" s="11"/>
      <c r="AM35" s="11"/>
      <c r="AN35" s="8">
        <f t="shared" si="20"/>
        <v>0.43937046895281484</v>
      </c>
      <c r="AO35" s="8">
        <f t="shared" si="21"/>
        <v>0.64450569388716661</v>
      </c>
      <c r="AP35" s="8">
        <f t="shared" si="22"/>
        <v>11.619553998094723</v>
      </c>
      <c r="AQ35" s="8">
        <f t="shared" si="23"/>
        <v>3.1401580694751523</v>
      </c>
      <c r="AR35" s="8">
        <f t="shared" si="24"/>
        <v>24.820673556420356</v>
      </c>
      <c r="AS35" s="8">
        <f t="shared" si="25"/>
        <v>45.852578056131456</v>
      </c>
      <c r="AT35" s="8">
        <f t="shared" si="26"/>
        <v>13.483160157038338</v>
      </c>
      <c r="AU35" s="14">
        <f t="shared" si="27"/>
        <v>100.00000000000001</v>
      </c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</row>
    <row r="36" spans="1:189" s="18" customFormat="1">
      <c r="A36" s="1" t="s">
        <v>80</v>
      </c>
      <c r="B36" s="12">
        <v>161.61000000000001</v>
      </c>
      <c r="C36" s="12">
        <v>2883.31</v>
      </c>
      <c r="D36" s="12">
        <v>-1307.51</v>
      </c>
      <c r="E36" s="12">
        <v>2899.87</v>
      </c>
      <c r="F36" s="13" t="s">
        <v>131</v>
      </c>
      <c r="G36" s="12" t="s">
        <v>294</v>
      </c>
      <c r="H36" s="2" t="s">
        <v>193</v>
      </c>
      <c r="I36" s="8">
        <v>0.12314327813390299</v>
      </c>
      <c r="J36" s="8">
        <v>8.5273136607048647E-2</v>
      </c>
      <c r="K36" s="8">
        <v>0.53790621197865895</v>
      </c>
      <c r="L36" s="8">
        <v>0.72616954849122339</v>
      </c>
      <c r="M36" s="8">
        <v>6.9898254635439745</v>
      </c>
      <c r="N36" s="8">
        <v>11.711270350301863</v>
      </c>
      <c r="O36" s="8">
        <v>1.8424391857381166</v>
      </c>
      <c r="P36" s="8"/>
      <c r="Q36" s="8"/>
      <c r="R36" s="8">
        <f t="shared" si="4"/>
        <v>18.701095813845839</v>
      </c>
      <c r="S36" s="8">
        <f t="shared" si="5"/>
        <v>20.543534999583954</v>
      </c>
      <c r="T36" s="8">
        <f t="shared" si="6"/>
        <v>21.269704548075175</v>
      </c>
      <c r="U36" s="8">
        <f t="shared" si="7"/>
        <v>20.173587989056671</v>
      </c>
      <c r="V36" s="8">
        <f t="shared" si="8"/>
        <v>22.016027174794786</v>
      </c>
      <c r="W36" s="8">
        <f t="shared" si="9"/>
        <v>19.427265362337064</v>
      </c>
      <c r="X36" s="8">
        <f t="shared" si="10"/>
        <v>0.74632262671961058</v>
      </c>
      <c r="Y36" s="8"/>
      <c r="Z36" s="11"/>
      <c r="AA36" s="8">
        <f t="shared" si="11"/>
        <v>0.5968460512367737</v>
      </c>
      <c r="AB36" s="14">
        <f t="shared" si="12"/>
        <v>26.030653053797582</v>
      </c>
      <c r="AC36" s="11"/>
      <c r="AD36" s="11"/>
      <c r="AE36" s="15">
        <f t="shared" si="13"/>
        <v>2.5338123072819545E-4</v>
      </c>
      <c r="AF36" s="15">
        <f t="shared" si="14"/>
        <v>1.8143220554691202E-4</v>
      </c>
      <c r="AG36" s="15">
        <f t="shared" si="15"/>
        <v>7.7732111557609674E-4</v>
      </c>
      <c r="AH36" s="15">
        <f t="shared" si="16"/>
        <v>5.1501386417817261E-3</v>
      </c>
      <c r="AI36" s="15">
        <f t="shared" si="17"/>
        <v>6.9619775533306515E-3</v>
      </c>
      <c r="AJ36" s="15">
        <f t="shared" si="18"/>
        <v>1.9917126446091605E-2</v>
      </c>
      <c r="AK36" s="15">
        <f t="shared" si="19"/>
        <v>1.2619446477658332E-2</v>
      </c>
      <c r="AL36" s="11"/>
      <c r="AM36" s="11"/>
      <c r="AN36" s="8">
        <f t="shared" si="20"/>
        <v>0.55933469356762289</v>
      </c>
      <c r="AO36" s="8">
        <f t="shared" si="21"/>
        <v>0.38732299851389279</v>
      </c>
      <c r="AP36" s="8">
        <f t="shared" si="22"/>
        <v>2.443248310460322</v>
      </c>
      <c r="AQ36" s="8">
        <f t="shared" si="23"/>
        <v>3.2983677878204296</v>
      </c>
      <c r="AR36" s="8">
        <f t="shared" si="24"/>
        <v>31.748804668747539</v>
      </c>
      <c r="AS36" s="8">
        <f t="shared" si="25"/>
        <v>53.194294580584454</v>
      </c>
      <c r="AT36" s="8">
        <f t="shared" si="26"/>
        <v>8.3686269603057504</v>
      </c>
      <c r="AU36" s="14">
        <f t="shared" si="27"/>
        <v>100.00000000000001</v>
      </c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</row>
    <row r="37" spans="1:189" s="18" customFormat="1">
      <c r="A37" s="1" t="s">
        <v>81</v>
      </c>
      <c r="B37" s="12">
        <v>174.1</v>
      </c>
      <c r="C37" s="12">
        <v>2895.7999999999997</v>
      </c>
      <c r="D37" s="12">
        <v>-1319.9999999999998</v>
      </c>
      <c r="E37" s="12">
        <v>2921.6999999999994</v>
      </c>
      <c r="F37" s="13" t="s">
        <v>131</v>
      </c>
      <c r="G37" s="12" t="s">
        <v>290</v>
      </c>
      <c r="H37" s="2" t="s">
        <v>193</v>
      </c>
      <c r="I37" s="8">
        <v>0.11991185897436001</v>
      </c>
      <c r="J37" s="8">
        <v>0.1117857460826211</v>
      </c>
      <c r="K37" s="8">
        <v>0.77070601851851861</v>
      </c>
      <c r="L37" s="8">
        <v>0.47947961182336191</v>
      </c>
      <c r="M37" s="8">
        <v>2.1131868767806266</v>
      </c>
      <c r="N37" s="8">
        <v>6.0858092948717948</v>
      </c>
      <c r="O37" s="8">
        <v>0.23981510416666674</v>
      </c>
      <c r="P37" s="8"/>
      <c r="Q37" s="8"/>
      <c r="R37" s="8">
        <f t="shared" si="4"/>
        <v>8.1989961716524213</v>
      </c>
      <c r="S37" s="8">
        <f t="shared" si="5"/>
        <v>8.4388112758190879</v>
      </c>
      <c r="T37" s="8">
        <f t="shared" si="6"/>
        <v>8.9182908876424491</v>
      </c>
      <c r="U37" s="8">
        <f t="shared" si="7"/>
        <v>9.6808794070512825</v>
      </c>
      <c r="V37" s="8">
        <f t="shared" si="8"/>
        <v>9.920694511217949</v>
      </c>
      <c r="W37" s="8">
        <f t="shared" si="9"/>
        <v>8.6784757834757826</v>
      </c>
      <c r="X37" s="8">
        <f t="shared" si="10"/>
        <v>1.0024036235754998</v>
      </c>
      <c r="Y37" s="8"/>
      <c r="Z37" s="11"/>
      <c r="AA37" s="8">
        <f t="shared" si="11"/>
        <v>0.34723185929623246</v>
      </c>
      <c r="AB37" s="14">
        <f t="shared" si="12"/>
        <v>8.6576660133373213</v>
      </c>
      <c r="AC37" s="11"/>
      <c r="AD37" s="11"/>
      <c r="AE37" s="15">
        <f t="shared" si="13"/>
        <v>2.4673222011185186E-4</v>
      </c>
      <c r="AF37" s="15">
        <f t="shared" si="14"/>
        <v>2.37842012941747E-4</v>
      </c>
      <c r="AG37" s="15">
        <f t="shared" si="15"/>
        <v>1.1137370209805182E-3</v>
      </c>
      <c r="AH37" s="15">
        <f t="shared" si="16"/>
        <v>3.4005646228607227E-3</v>
      </c>
      <c r="AI37" s="15">
        <f t="shared" si="17"/>
        <v>2.104767805558393E-3</v>
      </c>
      <c r="AJ37" s="15">
        <f t="shared" si="18"/>
        <v>1.0350015807605093E-2</v>
      </c>
      <c r="AK37" s="15">
        <f t="shared" si="19"/>
        <v>1.642569206621005E-3</v>
      </c>
      <c r="AL37" s="11"/>
      <c r="AM37" s="11"/>
      <c r="AN37" s="8">
        <f t="shared" si="20"/>
        <v>1.2087042781003707</v>
      </c>
      <c r="AO37" s="8">
        <f t="shared" si="21"/>
        <v>1.1267935521673202</v>
      </c>
      <c r="AP37" s="8">
        <f t="shared" si="22"/>
        <v>7.7686700023575286</v>
      </c>
      <c r="AQ37" s="8">
        <f t="shared" si="23"/>
        <v>4.8331254558961003</v>
      </c>
      <c r="AR37" s="8">
        <f t="shared" si="24"/>
        <v>21.300795769803354</v>
      </c>
      <c r="AS37" s="8">
        <f t="shared" si="25"/>
        <v>61.344589211876141</v>
      </c>
      <c r="AT37" s="8">
        <f t="shared" si="26"/>
        <v>2.4173217297991871</v>
      </c>
      <c r="AU37" s="14">
        <f t="shared" si="27"/>
        <v>100</v>
      </c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</row>
    <row r="38" spans="1:189" s="18" customFormat="1">
      <c r="A38" s="1" t="s">
        <v>82</v>
      </c>
      <c r="B38" s="12">
        <v>189</v>
      </c>
      <c r="C38" s="12">
        <v>2900.2599999999998</v>
      </c>
      <c r="D38" s="12">
        <v>-1324.4599999999998</v>
      </c>
      <c r="E38" s="12">
        <v>2926.1599999999994</v>
      </c>
      <c r="F38" s="13" t="s">
        <v>131</v>
      </c>
      <c r="G38" s="12" t="s">
        <v>290</v>
      </c>
      <c r="H38" s="2" t="s">
        <v>193</v>
      </c>
      <c r="I38" s="8">
        <v>0.13107950498575502</v>
      </c>
      <c r="J38" s="8">
        <v>0.1020991363960114</v>
      </c>
      <c r="K38" s="8">
        <v>0.88067752849003</v>
      </c>
      <c r="L38" s="8">
        <v>0.59571892806267823</v>
      </c>
      <c r="M38" s="8">
        <v>4.5057794693732198</v>
      </c>
      <c r="N38" s="8">
        <v>16.256749465811964</v>
      </c>
      <c r="O38" s="8">
        <v>0.24465840900997149</v>
      </c>
      <c r="P38" s="8"/>
      <c r="Q38" s="8"/>
      <c r="R38" s="8">
        <f t="shared" si="4"/>
        <v>20.762528935185184</v>
      </c>
      <c r="S38" s="8">
        <f t="shared" si="5"/>
        <v>21.007187344195156</v>
      </c>
      <c r="T38" s="8">
        <f t="shared" si="6"/>
        <v>21.602906272257833</v>
      </c>
      <c r="U38" s="8">
        <f t="shared" si="7"/>
        <v>22.47210403311966</v>
      </c>
      <c r="V38" s="8">
        <f t="shared" si="8"/>
        <v>22.716762442129632</v>
      </c>
      <c r="W38" s="8">
        <f t="shared" si="9"/>
        <v>21.358247863247861</v>
      </c>
      <c r="X38" s="8">
        <f t="shared" si="10"/>
        <v>1.1138561698717964</v>
      </c>
      <c r="Y38" s="8"/>
      <c r="Z38" s="11"/>
      <c r="AA38" s="8">
        <f t="shared" si="11"/>
        <v>0.27716361618593555</v>
      </c>
      <c r="AB38" s="14">
        <f t="shared" si="12"/>
        <v>19.175050101581942</v>
      </c>
      <c r="AC38" s="11"/>
      <c r="AD38" s="11"/>
      <c r="AE38" s="15">
        <f t="shared" si="13"/>
        <v>2.6971091560854942E-4</v>
      </c>
      <c r="AF38" s="15">
        <f t="shared" si="14"/>
        <v>2.172322050978966E-4</v>
      </c>
      <c r="AG38" s="15">
        <f t="shared" si="15"/>
        <v>1.2726553879913729E-3</v>
      </c>
      <c r="AH38" s="15">
        <f t="shared" si="16"/>
        <v>4.2249569366147391E-3</v>
      </c>
      <c r="AI38" s="15">
        <f t="shared" si="17"/>
        <v>4.487828156746235E-3</v>
      </c>
      <c r="AJ38" s="15">
        <f t="shared" si="18"/>
        <v>2.7647533105122388E-2</v>
      </c>
      <c r="AK38" s="15">
        <f t="shared" si="19"/>
        <v>1.6757425274655582E-3</v>
      </c>
      <c r="AL38" s="11"/>
      <c r="AM38" s="11"/>
      <c r="AN38" s="8">
        <f t="shared" si="20"/>
        <v>0.57701666476319713</v>
      </c>
      <c r="AO38" s="8">
        <f t="shared" si="21"/>
        <v>0.44944404668625793</v>
      </c>
      <c r="AP38" s="8">
        <f t="shared" si="22"/>
        <v>3.8767739493404192</v>
      </c>
      <c r="AQ38" s="8">
        <f t="shared" si="23"/>
        <v>2.6223760079380014</v>
      </c>
      <c r="AR38" s="8">
        <f t="shared" si="24"/>
        <v>19.834602227547069</v>
      </c>
      <c r="AS38" s="8">
        <f t="shared" si="25"/>
        <v>71.562792044973904</v>
      </c>
      <c r="AT38" s="8">
        <f t="shared" si="26"/>
        <v>1.0769950587511425</v>
      </c>
      <c r="AU38" s="14">
        <f t="shared" si="27"/>
        <v>99.999999999999986</v>
      </c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</row>
    <row r="39" spans="1:189" s="18" customFormat="1">
      <c r="A39" s="1" t="s">
        <v>83</v>
      </c>
      <c r="B39" s="12">
        <v>197.34</v>
      </c>
      <c r="C39" s="12">
        <v>2919.04</v>
      </c>
      <c r="D39" s="12">
        <v>-1343.24</v>
      </c>
      <c r="E39" s="12">
        <v>2944.9399999999996</v>
      </c>
      <c r="F39" s="13" t="s">
        <v>131</v>
      </c>
      <c r="G39" s="12" t="s">
        <v>294</v>
      </c>
      <c r="H39" s="2" t="s">
        <v>193</v>
      </c>
      <c r="I39" s="8">
        <v>0.23852568158436199</v>
      </c>
      <c r="J39" s="8">
        <v>0.22698038837448561</v>
      </c>
      <c r="K39" s="8">
        <v>0.70828820365459999</v>
      </c>
      <c r="L39" s="8">
        <v>1.126519078059848</v>
      </c>
      <c r="M39" s="8">
        <v>8.5510550623800388</v>
      </c>
      <c r="N39" s="8">
        <v>3.9181935990605474</v>
      </c>
      <c r="O39" s="8">
        <v>1.2192102065058479</v>
      </c>
      <c r="P39" s="8"/>
      <c r="Q39" s="8"/>
      <c r="R39" s="8">
        <f t="shared" si="4"/>
        <v>12.469248661440586</v>
      </c>
      <c r="S39" s="8">
        <f t="shared" si="5"/>
        <v>13.688458867946434</v>
      </c>
      <c r="T39" s="8">
        <f t="shared" si="6"/>
        <v>14.814977946006282</v>
      </c>
      <c r="U39" s="8">
        <f t="shared" si="7"/>
        <v>14.769562013113882</v>
      </c>
      <c r="V39" s="8">
        <f t="shared" si="8"/>
        <v>15.988772219619729</v>
      </c>
      <c r="W39" s="8">
        <f t="shared" si="9"/>
        <v>13.595767739500435</v>
      </c>
      <c r="X39" s="8">
        <f t="shared" si="10"/>
        <v>1.1737942736134475</v>
      </c>
      <c r="Y39" s="8"/>
      <c r="Z39" s="11"/>
      <c r="AA39" s="8">
        <f t="shared" si="11"/>
        <v>2.1823972823676443</v>
      </c>
      <c r="AB39" s="14">
        <f t="shared" si="12"/>
        <v>11.582751803386099</v>
      </c>
      <c r="AC39" s="11"/>
      <c r="AD39" s="11"/>
      <c r="AE39" s="15">
        <f t="shared" si="13"/>
        <v>4.907935835069177E-4</v>
      </c>
      <c r="AF39" s="15">
        <f t="shared" si="14"/>
        <v>4.8293699654145873E-4</v>
      </c>
      <c r="AG39" s="15">
        <f t="shared" si="15"/>
        <v>1.0235378665528901E-3</v>
      </c>
      <c r="AH39" s="15">
        <f t="shared" si="16"/>
        <v>7.9894970075166521E-3</v>
      </c>
      <c r="AI39" s="15">
        <f t="shared" si="17"/>
        <v>8.5169871139243406E-3</v>
      </c>
      <c r="AJ39" s="15">
        <f t="shared" si="18"/>
        <v>6.6635945562254209E-3</v>
      </c>
      <c r="AK39" s="15">
        <f t="shared" si="19"/>
        <v>8.3507548390811502E-3</v>
      </c>
      <c r="AL39" s="11"/>
      <c r="AM39" s="11"/>
      <c r="AN39" s="8">
        <f t="shared" si="20"/>
        <v>1.4918323827996531</v>
      </c>
      <c r="AO39" s="8">
        <f t="shared" si="21"/>
        <v>1.4196236287359156</v>
      </c>
      <c r="AP39" s="8">
        <f t="shared" si="22"/>
        <v>4.4299099013085179</v>
      </c>
      <c r="AQ39" s="8">
        <f t="shared" si="23"/>
        <v>7.0456884530352051</v>
      </c>
      <c r="AR39" s="8">
        <f t="shared" si="24"/>
        <v>53.481624135511098</v>
      </c>
      <c r="AS39" s="8">
        <f t="shared" si="25"/>
        <v>24.505906677765754</v>
      </c>
      <c r="AT39" s="8">
        <f t="shared" si="26"/>
        <v>7.6254148208438552</v>
      </c>
      <c r="AU39" s="14">
        <f t="shared" si="27"/>
        <v>100</v>
      </c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</row>
    <row r="40" spans="1:189" s="18" customFormat="1">
      <c r="A40" s="1" t="s">
        <v>84</v>
      </c>
      <c r="B40" s="12">
        <v>198.58</v>
      </c>
      <c r="C40" s="12">
        <v>2920.2799999999997</v>
      </c>
      <c r="D40" s="12">
        <v>-1344.4799999999998</v>
      </c>
      <c r="E40" s="12">
        <v>2946.1799999999994</v>
      </c>
      <c r="F40" s="13" t="s">
        <v>131</v>
      </c>
      <c r="G40" s="12" t="s">
        <v>291</v>
      </c>
      <c r="H40" s="2" t="s">
        <v>193</v>
      </c>
      <c r="I40" s="8">
        <v>0.25904578091131847</v>
      </c>
      <c r="J40" s="8">
        <v>0.12584439349495807</v>
      </c>
      <c r="K40" s="8">
        <v>1.0097235587469038</v>
      </c>
      <c r="L40" s="8">
        <v>0.55043068562565667</v>
      </c>
      <c r="M40" s="8">
        <v>5.0599766006175741</v>
      </c>
      <c r="N40" s="8">
        <v>11.731367130080191</v>
      </c>
      <c r="O40" s="8">
        <v>0.73032668847093862</v>
      </c>
      <c r="P40" s="8"/>
      <c r="Q40" s="8"/>
      <c r="R40" s="8">
        <f t="shared" si="4"/>
        <v>16.791343730697765</v>
      </c>
      <c r="S40" s="8">
        <f t="shared" si="5"/>
        <v>17.521670419168704</v>
      </c>
      <c r="T40" s="8">
        <f t="shared" si="6"/>
        <v>18.07210110479436</v>
      </c>
      <c r="U40" s="8">
        <f t="shared" si="7"/>
        <v>18.736388149476603</v>
      </c>
      <c r="V40" s="8">
        <f t="shared" si="8"/>
        <v>19.466714837947542</v>
      </c>
      <c r="W40" s="8">
        <f t="shared" si="9"/>
        <v>17.341774416323421</v>
      </c>
      <c r="X40" s="8">
        <f t="shared" si="10"/>
        <v>1.3946137331531803</v>
      </c>
      <c r="Y40" s="8"/>
      <c r="Z40" s="11"/>
      <c r="AA40" s="8">
        <f t="shared" si="11"/>
        <v>0.43132028386046989</v>
      </c>
      <c r="AB40" s="14">
        <f t="shared" si="12"/>
        <v>12.434822635163776</v>
      </c>
      <c r="AC40" s="11"/>
      <c r="AD40" s="11"/>
      <c r="AE40" s="15">
        <f t="shared" si="13"/>
        <v>5.3301601010559353E-4</v>
      </c>
      <c r="AF40" s="15">
        <f t="shared" si="14"/>
        <v>2.6775402871267675E-4</v>
      </c>
      <c r="AG40" s="15">
        <f t="shared" si="15"/>
        <v>1.4591380906747164E-3</v>
      </c>
      <c r="AH40" s="15">
        <f t="shared" si="16"/>
        <v>3.9037637278415368E-3</v>
      </c>
      <c r="AI40" s="15">
        <f t="shared" si="17"/>
        <v>5.0398173312924044E-3</v>
      </c>
      <c r="AJ40" s="15">
        <f t="shared" si="18"/>
        <v>1.9951304642993523E-2</v>
      </c>
      <c r="AK40" s="15">
        <f t="shared" si="19"/>
        <v>5.0022375922667032E-3</v>
      </c>
      <c r="AL40" s="11"/>
      <c r="AM40" s="11"/>
      <c r="AN40" s="8">
        <f t="shared" si="20"/>
        <v>1.3307113350545734</v>
      </c>
      <c r="AO40" s="8">
        <f t="shared" si="21"/>
        <v>0.64645932579051635</v>
      </c>
      <c r="AP40" s="8">
        <f t="shared" si="22"/>
        <v>5.1869232541414432</v>
      </c>
      <c r="AQ40" s="8">
        <f t="shared" si="23"/>
        <v>2.8275478949980388</v>
      </c>
      <c r="AR40" s="8">
        <f t="shared" si="24"/>
        <v>25.992966161675529</v>
      </c>
      <c r="AS40" s="8">
        <f t="shared" si="25"/>
        <v>60.263723117840044</v>
      </c>
      <c r="AT40" s="8">
        <f t="shared" si="26"/>
        <v>3.7516689104998471</v>
      </c>
      <c r="AU40" s="14">
        <f t="shared" si="27"/>
        <v>99.999999999999986</v>
      </c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</row>
    <row r="41" spans="1:189" s="16" customFormat="1">
      <c r="A41" s="1" t="s">
        <v>85</v>
      </c>
      <c r="B41" s="12">
        <v>204.55</v>
      </c>
      <c r="C41" s="12">
        <v>2926.25</v>
      </c>
      <c r="D41" s="12">
        <v>-1350.45</v>
      </c>
      <c r="E41" s="12">
        <v>2952.1499999999996</v>
      </c>
      <c r="F41" s="13" t="s">
        <v>131</v>
      </c>
      <c r="G41" s="12" t="s">
        <v>223</v>
      </c>
      <c r="H41" s="2" t="s">
        <v>193</v>
      </c>
      <c r="I41" s="8">
        <v>0.33146125531240905</v>
      </c>
      <c r="J41" s="8">
        <v>0.57959784808913495</v>
      </c>
      <c r="K41" s="8">
        <v>2.2966230264635303</v>
      </c>
      <c r="L41" s="8">
        <v>2.9787294824281205</v>
      </c>
      <c r="M41" s="8">
        <v>17.813667624506031</v>
      </c>
      <c r="N41" s="8">
        <v>14.016094880483838</v>
      </c>
      <c r="O41" s="8">
        <v>3.628960754987308</v>
      </c>
      <c r="P41" s="8"/>
      <c r="Q41" s="8"/>
      <c r="R41" s="8">
        <f t="shared" si="4"/>
        <v>31.829762504989869</v>
      </c>
      <c r="S41" s="8">
        <f t="shared" si="5"/>
        <v>35.458723259977177</v>
      </c>
      <c r="T41" s="8">
        <f t="shared" si="6"/>
        <v>38.437452742405306</v>
      </c>
      <c r="U41" s="8">
        <f t="shared" si="7"/>
        <v>38.016174117283065</v>
      </c>
      <c r="V41" s="8">
        <f t="shared" si="8"/>
        <v>41.645134872270376</v>
      </c>
      <c r="W41" s="8">
        <f t="shared" si="9"/>
        <v>34.808491987417987</v>
      </c>
      <c r="X41" s="8">
        <f t="shared" si="10"/>
        <v>3.2076821298650744</v>
      </c>
      <c r="Y41" s="8"/>
      <c r="Z41" s="11"/>
      <c r="AA41" s="8">
        <f t="shared" si="11"/>
        <v>1.2709437098139207</v>
      </c>
      <c r="AB41" s="14">
        <f t="shared" si="12"/>
        <v>10.851602677002832</v>
      </c>
      <c r="AC41" s="11"/>
      <c r="AD41" s="11"/>
      <c r="AE41" s="15">
        <f t="shared" si="13"/>
        <v>6.8201904385269357E-4</v>
      </c>
      <c r="AF41" s="15">
        <f t="shared" si="14"/>
        <v>1.2331869108279468E-3</v>
      </c>
      <c r="AG41" s="15">
        <f t="shared" si="15"/>
        <v>3.3188194024039454E-3</v>
      </c>
      <c r="AH41" s="15">
        <f t="shared" si="16"/>
        <v>2.1125741010128516E-2</v>
      </c>
      <c r="AI41" s="15">
        <f t="shared" si="17"/>
        <v>1.7742696837157401E-2</v>
      </c>
      <c r="AJ41" s="15">
        <f t="shared" si="18"/>
        <v>2.3836896055244621E-2</v>
      </c>
      <c r="AK41" s="15">
        <f t="shared" si="19"/>
        <v>2.485589558210485E-2</v>
      </c>
      <c r="AL41" s="11"/>
      <c r="AM41" s="11"/>
      <c r="AN41" s="8">
        <f t="shared" si="20"/>
        <v>0.7959183139375885</v>
      </c>
      <c r="AO41" s="8">
        <f t="shared" si="21"/>
        <v>1.3917540424993633</v>
      </c>
      <c r="AP41" s="8">
        <f t="shared" si="22"/>
        <v>5.5147450800855689</v>
      </c>
      <c r="AQ41" s="8">
        <f t="shared" si="23"/>
        <v>7.1526469816082239</v>
      </c>
      <c r="AR41" s="8">
        <f t="shared" si="24"/>
        <v>42.774906790774622</v>
      </c>
      <c r="AS41" s="8">
        <f t="shared" si="25"/>
        <v>33.65601990117824</v>
      </c>
      <c r="AT41" s="8">
        <f t="shared" si="26"/>
        <v>8.7140088899163821</v>
      </c>
      <c r="AU41" s="14">
        <f t="shared" si="27"/>
        <v>100</v>
      </c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</row>
    <row r="42" spans="1:189" s="16" customFormat="1">
      <c r="A42" s="1" t="s">
        <v>86</v>
      </c>
      <c r="B42" s="12">
        <v>205.31</v>
      </c>
      <c r="C42" s="12">
        <v>2927.0099999999998</v>
      </c>
      <c r="D42" s="12">
        <v>-1351.2099999999998</v>
      </c>
      <c r="E42" s="12">
        <v>2952.9099999999994</v>
      </c>
      <c r="F42" s="13" t="s">
        <v>131</v>
      </c>
      <c r="G42" s="12" t="s">
        <v>223</v>
      </c>
      <c r="H42" s="2" t="s">
        <v>193</v>
      </c>
      <c r="I42" s="8">
        <v>0.188701828461737</v>
      </c>
      <c r="J42" s="8">
        <v>0.51041176123980159</v>
      </c>
      <c r="K42" s="8">
        <v>11.053200856403073</v>
      </c>
      <c r="L42" s="8">
        <v>2.9587259672493209</v>
      </c>
      <c r="M42" s="8">
        <v>22.275671592014479</v>
      </c>
      <c r="N42" s="8">
        <v>32.823146027133085</v>
      </c>
      <c r="O42" s="8">
        <v>7.1462520850795439</v>
      </c>
      <c r="P42" s="8"/>
      <c r="Q42" s="8"/>
      <c r="R42" s="8">
        <f t="shared" si="4"/>
        <v>55.098817619147567</v>
      </c>
      <c r="S42" s="8">
        <f t="shared" si="5"/>
        <v>62.245069704227106</v>
      </c>
      <c r="T42" s="8">
        <f t="shared" si="6"/>
        <v>65.203795671476428</v>
      </c>
      <c r="U42" s="8">
        <f t="shared" si="7"/>
        <v>69.809858032501495</v>
      </c>
      <c r="V42" s="8">
        <f t="shared" si="8"/>
        <v>76.956110117581034</v>
      </c>
      <c r="W42" s="8">
        <f t="shared" si="9"/>
        <v>58.057543586396889</v>
      </c>
      <c r="X42" s="8">
        <f t="shared" si="10"/>
        <v>11.752314446104611</v>
      </c>
      <c r="Y42" s="8"/>
      <c r="Z42" s="11"/>
      <c r="AA42" s="8">
        <f t="shared" si="11"/>
        <v>0.6786574197854286</v>
      </c>
      <c r="AB42" s="14">
        <f t="shared" si="12"/>
        <v>4.9400944684253645</v>
      </c>
      <c r="AC42" s="11"/>
      <c r="AD42" s="11"/>
      <c r="AE42" s="15">
        <f t="shared" si="13"/>
        <v>3.8827536720522016E-4</v>
      </c>
      <c r="AF42" s="15">
        <f t="shared" si="14"/>
        <v>1.0859824707229822E-3</v>
      </c>
      <c r="AG42" s="15">
        <f t="shared" si="15"/>
        <v>1.5972833607518892E-2</v>
      </c>
      <c r="AH42" s="15">
        <f t="shared" si="16"/>
        <v>2.0983872108151211E-2</v>
      </c>
      <c r="AI42" s="15">
        <f t="shared" si="17"/>
        <v>2.2186923896428765E-2</v>
      </c>
      <c r="AJ42" s="15">
        <f t="shared" si="18"/>
        <v>5.5821676916893E-2</v>
      </c>
      <c r="AK42" s="15">
        <f t="shared" si="19"/>
        <v>4.8946932089585921E-2</v>
      </c>
      <c r="AL42" s="11"/>
      <c r="AM42" s="11"/>
      <c r="AN42" s="8">
        <f t="shared" si="20"/>
        <v>0.24520707735021946</v>
      </c>
      <c r="AO42" s="8">
        <f t="shared" si="21"/>
        <v>0.66325046894904749</v>
      </c>
      <c r="AP42" s="8">
        <f t="shared" si="22"/>
        <v>14.362993191203294</v>
      </c>
      <c r="AQ42" s="8">
        <f t="shared" si="23"/>
        <v>3.8446927251503373</v>
      </c>
      <c r="AR42" s="8">
        <f t="shared" si="24"/>
        <v>28.945942769170035</v>
      </c>
      <c r="AS42" s="8">
        <f t="shared" si="25"/>
        <v>42.651773818846465</v>
      </c>
      <c r="AT42" s="8">
        <f t="shared" si="26"/>
        <v>9.2861399493306056</v>
      </c>
      <c r="AU42" s="14">
        <f t="shared" si="27"/>
        <v>100</v>
      </c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</row>
    <row r="43" spans="1:189">
      <c r="A43" s="1" t="s">
        <v>194</v>
      </c>
      <c r="B43" s="12">
        <v>205.61</v>
      </c>
      <c r="C43" s="12">
        <v>2927.31</v>
      </c>
      <c r="D43" s="12">
        <v>-1351.51</v>
      </c>
      <c r="E43" s="12">
        <v>2953.2099999999996</v>
      </c>
      <c r="F43" s="13" t="s">
        <v>131</v>
      </c>
      <c r="G43" s="12" t="s">
        <v>223</v>
      </c>
      <c r="H43" s="2" t="s">
        <v>188</v>
      </c>
      <c r="I43" s="8">
        <v>0.27549675602792734</v>
      </c>
      <c r="J43" s="8">
        <v>0.71057618900454711</v>
      </c>
      <c r="K43" s="8">
        <v>2.1711700213326668</v>
      </c>
      <c r="L43" s="8">
        <v>1.5377909779902299</v>
      </c>
      <c r="M43" s="8">
        <v>14.271737408707143</v>
      </c>
      <c r="N43" s="8">
        <v>15.083749611737103</v>
      </c>
      <c r="O43" s="8">
        <v>1.0736603392322563</v>
      </c>
      <c r="P43" s="8"/>
      <c r="Q43" s="8"/>
      <c r="R43" s="8">
        <f t="shared" si="4"/>
        <v>29.355487020444244</v>
      </c>
      <c r="S43" s="8">
        <f t="shared" si="5"/>
        <v>30.429147359676502</v>
      </c>
      <c r="T43" s="8">
        <f t="shared" si="6"/>
        <v>31.966938337666733</v>
      </c>
      <c r="U43" s="8">
        <f t="shared" si="7"/>
        <v>34.050520964799617</v>
      </c>
      <c r="V43" s="8">
        <f t="shared" si="8"/>
        <v>35.124181304031872</v>
      </c>
      <c r="W43" s="8">
        <f t="shared" si="9"/>
        <v>30.893277998434474</v>
      </c>
      <c r="X43" s="8">
        <f t="shared" si="10"/>
        <v>3.1572429663651413</v>
      </c>
      <c r="AA43" s="8">
        <f t="shared" si="11"/>
        <v>0.94616642254535244</v>
      </c>
      <c r="AB43" s="14">
        <f t="shared" si="12"/>
        <v>9.7848909087922262</v>
      </c>
      <c r="AE43" s="15">
        <f t="shared" si="13"/>
        <v>5.6686575314388336E-4</v>
      </c>
      <c r="AF43" s="15">
        <f t="shared" si="14"/>
        <v>1.5118642319245682E-3</v>
      </c>
      <c r="AG43" s="15">
        <f t="shared" si="15"/>
        <v>3.1375289325616573E-3</v>
      </c>
      <c r="AH43" s="15">
        <f t="shared" si="16"/>
        <v>1.0906318992838509E-2</v>
      </c>
      <c r="AI43" s="15">
        <f t="shared" si="17"/>
        <v>1.4214877897118668E-2</v>
      </c>
      <c r="AJ43" s="15">
        <f t="shared" si="18"/>
        <v>2.565263539411072E-2</v>
      </c>
      <c r="AK43" s="15">
        <f t="shared" si="19"/>
        <v>7.3538379399469616E-3</v>
      </c>
      <c r="AN43" s="8">
        <f t="shared" si="20"/>
        <v>0.78435068320383405</v>
      </c>
      <c r="AO43" s="8">
        <f t="shared" si="21"/>
        <v>2.0230398620650005</v>
      </c>
      <c r="AP43" s="8">
        <f t="shared" si="22"/>
        <v>6.1814110414110637</v>
      </c>
      <c r="AQ43" s="8">
        <f t="shared" si="23"/>
        <v>4.3781546527141639</v>
      </c>
      <c r="AR43" s="8">
        <f t="shared" si="24"/>
        <v>40.632227937705423</v>
      </c>
      <c r="AS43" s="8">
        <f t="shared" si="25"/>
        <v>42.944060336021707</v>
      </c>
      <c r="AT43" s="8">
        <f t="shared" si="26"/>
        <v>3.0567554868788127</v>
      </c>
      <c r="AU43" s="14">
        <f t="shared" si="27"/>
        <v>100</v>
      </c>
    </row>
    <row r="44" spans="1:189" s="16" customFormat="1">
      <c r="A44" s="1" t="s">
        <v>87</v>
      </c>
      <c r="B44" s="12">
        <v>210.5</v>
      </c>
      <c r="C44" s="12">
        <v>2932.2</v>
      </c>
      <c r="D44" s="12">
        <v>-1356.3999999999999</v>
      </c>
      <c r="E44" s="12">
        <v>2958.0999999999995</v>
      </c>
      <c r="F44" s="13" t="s">
        <v>131</v>
      </c>
      <c r="G44" s="12" t="s">
        <v>223</v>
      </c>
      <c r="H44" s="2" t="s">
        <v>193</v>
      </c>
      <c r="I44" s="8">
        <v>0.24569424865870501</v>
      </c>
      <c r="J44" s="8">
        <v>0.20269020242009925</v>
      </c>
      <c r="K44" s="8">
        <v>0.78513658979730006</v>
      </c>
      <c r="L44" s="8">
        <v>1.1435132228978842</v>
      </c>
      <c r="M44" s="8">
        <v>7.1817526363526287</v>
      </c>
      <c r="N44" s="8">
        <v>2.3373577035747628</v>
      </c>
      <c r="O44" s="8">
        <v>0.93651128386825688</v>
      </c>
      <c r="P44" s="8"/>
      <c r="Q44" s="8"/>
      <c r="R44" s="8">
        <f t="shared" si="4"/>
        <v>9.5191103399273906</v>
      </c>
      <c r="S44" s="8">
        <f t="shared" si="5"/>
        <v>10.455621623795649</v>
      </c>
      <c r="T44" s="8">
        <f t="shared" si="6"/>
        <v>11.599134846693531</v>
      </c>
      <c r="U44" s="8">
        <f t="shared" si="7"/>
        <v>11.89614460370138</v>
      </c>
      <c r="V44" s="8">
        <f t="shared" si="8"/>
        <v>12.832655887569636</v>
      </c>
      <c r="W44" s="8">
        <f t="shared" si="9"/>
        <v>10.662623562825274</v>
      </c>
      <c r="X44" s="8">
        <f t="shared" si="10"/>
        <v>1.2335210408761044</v>
      </c>
      <c r="Y44" s="8"/>
      <c r="Z44" s="11"/>
      <c r="AA44" s="8">
        <f t="shared" si="11"/>
        <v>3.0725945906220651</v>
      </c>
      <c r="AB44" s="14">
        <f t="shared" si="12"/>
        <v>8.6440548717776071</v>
      </c>
      <c r="AC44" s="11"/>
      <c r="AD44" s="11"/>
      <c r="AE44" s="15">
        <f t="shared" si="13"/>
        <v>5.055437215199691E-4</v>
      </c>
      <c r="AF44" s="15">
        <f t="shared" si="14"/>
        <v>4.312557498299984E-4</v>
      </c>
      <c r="AG44" s="15">
        <f t="shared" si="15"/>
        <v>1.1345904476839596E-3</v>
      </c>
      <c r="AH44" s="15">
        <f t="shared" si="16"/>
        <v>8.1100228574318024E-3</v>
      </c>
      <c r="AI44" s="15">
        <f t="shared" si="17"/>
        <v>7.1531400760484346E-3</v>
      </c>
      <c r="AJ44" s="15">
        <f t="shared" si="18"/>
        <v>3.9750981353312296E-3</v>
      </c>
      <c r="AK44" s="15">
        <f t="shared" si="19"/>
        <v>6.414460848412718E-3</v>
      </c>
      <c r="AL44" s="11"/>
      <c r="AM44" s="11"/>
      <c r="AN44" s="8">
        <f t="shared" si="20"/>
        <v>1.9146017068586478</v>
      </c>
      <c r="AO44" s="8">
        <f t="shared" si="21"/>
        <v>1.5794875526619185</v>
      </c>
      <c r="AP44" s="8">
        <f t="shared" si="22"/>
        <v>6.1182704241124659</v>
      </c>
      <c r="AQ44" s="8">
        <f t="shared" si="23"/>
        <v>8.9109630377102942</v>
      </c>
      <c r="AR44" s="8">
        <f t="shared" si="24"/>
        <v>55.964663116301907</v>
      </c>
      <c r="AS44" s="8">
        <f t="shared" si="25"/>
        <v>18.21413839857458</v>
      </c>
      <c r="AT44" s="8">
        <f t="shared" si="26"/>
        <v>7.2978757637801959</v>
      </c>
      <c r="AU44" s="14">
        <f t="shared" si="27"/>
        <v>100</v>
      </c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</row>
    <row r="45" spans="1:189" s="16" customFormat="1">
      <c r="A45" s="1" t="s">
        <v>88</v>
      </c>
      <c r="B45" s="12">
        <v>215.65</v>
      </c>
      <c r="C45" s="12">
        <v>2937.35</v>
      </c>
      <c r="D45" s="12">
        <v>-1361.55</v>
      </c>
      <c r="E45" s="12">
        <v>2963.2499999999995</v>
      </c>
      <c r="F45" s="13" t="s">
        <v>131</v>
      </c>
      <c r="G45" s="12" t="s">
        <v>223</v>
      </c>
      <c r="H45" s="2" t="s">
        <v>193</v>
      </c>
      <c r="I45" s="8">
        <v>0.21599182062249728</v>
      </c>
      <c r="J45" s="8">
        <v>0.33455702622557942</v>
      </c>
      <c r="K45" s="8">
        <v>1.3325117761584999</v>
      </c>
      <c r="L45" s="8">
        <v>0.90059089185919694</v>
      </c>
      <c r="M45" s="8">
        <v>4.0495935935073923</v>
      </c>
      <c r="N45" s="8">
        <v>3.6838433411645468</v>
      </c>
      <c r="O45" s="8">
        <v>1.0951068828774324</v>
      </c>
      <c r="P45" s="8"/>
      <c r="Q45" s="8"/>
      <c r="R45" s="8">
        <f t="shared" si="4"/>
        <v>7.7334369346719392</v>
      </c>
      <c r="S45" s="8">
        <f t="shared" si="5"/>
        <v>8.828543817549372</v>
      </c>
      <c r="T45" s="8">
        <f t="shared" si="6"/>
        <v>9.7291347094085694</v>
      </c>
      <c r="U45" s="8">
        <f t="shared" si="7"/>
        <v>10.517088449537713</v>
      </c>
      <c r="V45" s="8">
        <f t="shared" si="8"/>
        <v>11.612195332415146</v>
      </c>
      <c r="W45" s="8">
        <f t="shared" si="9"/>
        <v>8.6340278265311365</v>
      </c>
      <c r="X45" s="8">
        <f t="shared" si="10"/>
        <v>1.8830606230065765</v>
      </c>
      <c r="Y45" s="8"/>
      <c r="Z45" s="11"/>
      <c r="AA45" s="8">
        <f t="shared" si="11"/>
        <v>1.099284963683397</v>
      </c>
      <c r="AB45" s="14">
        <f t="shared" si="12"/>
        <v>4.5851034858058215</v>
      </c>
      <c r="AC45" s="11"/>
      <c r="AD45" s="11"/>
      <c r="AE45" s="15">
        <f t="shared" si="13"/>
        <v>4.4442761444958285E-4</v>
      </c>
      <c r="AF45" s="15">
        <f t="shared" si="14"/>
        <v>7.1182346005442434E-4</v>
      </c>
      <c r="AG45" s="15">
        <f t="shared" si="15"/>
        <v>1.9255950522521674E-3</v>
      </c>
      <c r="AH45" s="15">
        <f t="shared" si="16"/>
        <v>6.3871694458099071E-3</v>
      </c>
      <c r="AI45" s="15">
        <f t="shared" si="17"/>
        <v>4.033459754489435E-3</v>
      </c>
      <c r="AJ45" s="15">
        <f t="shared" si="18"/>
        <v>6.2650396958580726E-3</v>
      </c>
      <c r="AK45" s="15">
        <f t="shared" si="19"/>
        <v>7.5007320745029615E-3</v>
      </c>
      <c r="AL45" s="11"/>
      <c r="AM45" s="11"/>
      <c r="AN45" s="8">
        <f t="shared" si="20"/>
        <v>1.8600429500144702</v>
      </c>
      <c r="AO45" s="8">
        <f t="shared" si="21"/>
        <v>2.8810833494306807</v>
      </c>
      <c r="AP45" s="8">
        <f t="shared" si="22"/>
        <v>11.475106455011375</v>
      </c>
      <c r="AQ45" s="8">
        <f t="shared" si="23"/>
        <v>7.7555609949586408</v>
      </c>
      <c r="AR45" s="8">
        <f t="shared" si="24"/>
        <v>34.873626197133078</v>
      </c>
      <c r="AS45" s="8">
        <f t="shared" si="25"/>
        <v>31.723918137005434</v>
      </c>
      <c r="AT45" s="8">
        <f t="shared" si="26"/>
        <v>9.4306619164463203</v>
      </c>
      <c r="AU45" s="14">
        <f t="shared" si="27"/>
        <v>100</v>
      </c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</row>
    <row r="46" spans="1:189" s="16" customFormat="1">
      <c r="A46" s="1" t="s">
        <v>89</v>
      </c>
      <c r="B46" s="12">
        <v>218.22</v>
      </c>
      <c r="C46" s="12">
        <v>2939.9199999999996</v>
      </c>
      <c r="D46" s="12">
        <v>-1364.1199999999997</v>
      </c>
      <c r="E46" s="12">
        <v>2965.8199999999993</v>
      </c>
      <c r="F46" s="13" t="s">
        <v>131</v>
      </c>
      <c r="G46" s="12" t="s">
        <v>290</v>
      </c>
      <c r="H46" s="2" t="s">
        <v>193</v>
      </c>
      <c r="I46" s="8">
        <v>0.22756400813692482</v>
      </c>
      <c r="J46" s="8">
        <v>0.26732040895061737</v>
      </c>
      <c r="K46" s="8">
        <v>2.4843901632371002</v>
      </c>
      <c r="L46" s="8">
        <v>1.1514536054529849</v>
      </c>
      <c r="M46" s="8">
        <v>7.3582647098383074</v>
      </c>
      <c r="N46" s="8">
        <v>10.958941130819037</v>
      </c>
      <c r="O46" s="8">
        <v>0.56765933595826679</v>
      </c>
      <c r="P46" s="8"/>
      <c r="Q46" s="8"/>
      <c r="R46" s="8">
        <f t="shared" si="4"/>
        <v>18.317205840657344</v>
      </c>
      <c r="S46" s="8">
        <f t="shared" si="5"/>
        <v>18.884865176615612</v>
      </c>
      <c r="T46" s="8">
        <f t="shared" si="6"/>
        <v>20.036318782068598</v>
      </c>
      <c r="U46" s="8">
        <f t="shared" si="7"/>
        <v>22.447934026434972</v>
      </c>
      <c r="V46" s="8">
        <f t="shared" si="8"/>
        <v>23.01559336239324</v>
      </c>
      <c r="W46" s="8">
        <f t="shared" si="9"/>
        <v>19.46865944611033</v>
      </c>
      <c r="X46" s="8">
        <f t="shared" si="10"/>
        <v>2.9792745803246423</v>
      </c>
      <c r="Y46" s="8"/>
      <c r="Z46" s="11"/>
      <c r="AA46" s="8">
        <f t="shared" si="11"/>
        <v>0.67143938652477952</v>
      </c>
      <c r="AB46" s="14">
        <f t="shared" si="12"/>
        <v>6.5346979344176095</v>
      </c>
      <c r="AC46" s="11"/>
      <c r="AD46" s="11"/>
      <c r="AE46" s="15">
        <f t="shared" si="13"/>
        <v>4.6823869987021565E-4</v>
      </c>
      <c r="AF46" s="15">
        <f t="shared" si="14"/>
        <v>5.6876682755450502E-4</v>
      </c>
      <c r="AG46" s="15">
        <f t="shared" si="15"/>
        <v>3.5901591954293354E-3</v>
      </c>
      <c r="AH46" s="15">
        <f t="shared" si="16"/>
        <v>8.1663376273261347E-3</v>
      </c>
      <c r="AI46" s="15">
        <f t="shared" si="17"/>
        <v>7.3289489141815812E-3</v>
      </c>
      <c r="AJ46" s="15">
        <f t="shared" si="18"/>
        <v>1.8637654984386118E-2</v>
      </c>
      <c r="AK46" s="15">
        <f t="shared" si="19"/>
        <v>3.8880776435497727E-3</v>
      </c>
      <c r="AL46" s="11"/>
      <c r="AM46" s="11"/>
      <c r="AN46" s="8">
        <f t="shared" si="20"/>
        <v>0.98873839380894391</v>
      </c>
      <c r="AO46" s="8">
        <f t="shared" si="21"/>
        <v>1.1614751996244883</v>
      </c>
      <c r="AP46" s="8">
        <f t="shared" si="22"/>
        <v>10.794378072809176</v>
      </c>
      <c r="AQ46" s="8">
        <f t="shared" si="23"/>
        <v>5.0029281770958995</v>
      </c>
      <c r="AR46" s="8">
        <f t="shared" si="24"/>
        <v>31.970779957650286</v>
      </c>
      <c r="AS46" s="8">
        <f t="shared" si="25"/>
        <v>47.615288288528788</v>
      </c>
      <c r="AT46" s="8">
        <f t="shared" si="26"/>
        <v>2.4664119104824143</v>
      </c>
      <c r="AU46" s="14">
        <f t="shared" si="27"/>
        <v>100</v>
      </c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</row>
    <row r="47" spans="1:189" s="16" customFormat="1">
      <c r="A47" s="1" t="s">
        <v>195</v>
      </c>
      <c r="B47" s="12">
        <v>219.5</v>
      </c>
      <c r="C47" s="12">
        <v>2941.2</v>
      </c>
      <c r="D47" s="12">
        <v>-1365.3999999999999</v>
      </c>
      <c r="E47" s="12">
        <v>2967.0999999999995</v>
      </c>
      <c r="F47" s="13" t="s">
        <v>131</v>
      </c>
      <c r="G47" s="12" t="s">
        <v>295</v>
      </c>
      <c r="H47" s="2" t="s">
        <v>193</v>
      </c>
      <c r="I47" s="8">
        <v>0.17169318218479801</v>
      </c>
      <c r="J47" s="8">
        <v>0.39891063564653506</v>
      </c>
      <c r="K47" s="8">
        <v>20.667114794031768</v>
      </c>
      <c r="L47" s="8">
        <v>4.0849027528629405</v>
      </c>
      <c r="M47" s="8">
        <v>11.599012429616486</v>
      </c>
      <c r="N47" s="8">
        <v>21.304933791774065</v>
      </c>
      <c r="O47" s="8">
        <v>4.0569497014190832</v>
      </c>
      <c r="P47" s="8"/>
      <c r="Q47" s="8"/>
      <c r="R47" s="8">
        <f t="shared" si="4"/>
        <v>32.903946221390555</v>
      </c>
      <c r="S47" s="8">
        <f t="shared" si="5"/>
        <v>36.960895922809634</v>
      </c>
      <c r="T47" s="8">
        <f t="shared" si="6"/>
        <v>41.045798675672579</v>
      </c>
      <c r="U47" s="8">
        <f t="shared" si="7"/>
        <v>58.226567586116587</v>
      </c>
      <c r="V47" s="8">
        <f t="shared" si="8"/>
        <v>62.283517287535673</v>
      </c>
      <c r="W47" s="8">
        <f t="shared" si="9"/>
        <v>36.988848974253493</v>
      </c>
      <c r="X47" s="8">
        <f t="shared" si="10"/>
        <v>21.237718611863102</v>
      </c>
      <c r="Y47" s="8"/>
      <c r="Z47" s="11"/>
      <c r="AA47" s="8">
        <f t="shared" si="11"/>
        <v>0.5444284663346346</v>
      </c>
      <c r="AB47" s="14">
        <f t="shared" si="12"/>
        <v>1.7416583038063242</v>
      </c>
      <c r="AC47" s="11"/>
      <c r="AD47" s="11"/>
      <c r="AE47" s="15">
        <f t="shared" si="13"/>
        <v>3.5327815264361731E-4</v>
      </c>
      <c r="AF47" s="15">
        <f t="shared" si="14"/>
        <v>8.4874603329050018E-4</v>
      </c>
      <c r="AG47" s="15">
        <f t="shared" si="15"/>
        <v>2.9865772823745331E-2</v>
      </c>
      <c r="AH47" s="15">
        <f t="shared" si="16"/>
        <v>2.8970941509666243E-2</v>
      </c>
      <c r="AI47" s="15">
        <f t="shared" si="17"/>
        <v>1.1552801224717616E-2</v>
      </c>
      <c r="AJ47" s="15">
        <f t="shared" si="18"/>
        <v>3.6232880598255211E-2</v>
      </c>
      <c r="AK47" s="15">
        <f t="shared" si="19"/>
        <v>2.7787326722048516E-2</v>
      </c>
      <c r="AL47" s="11"/>
      <c r="AM47" s="11"/>
      <c r="AN47" s="8">
        <f t="shared" si="20"/>
        <v>0.27566391504860899</v>
      </c>
      <c r="AO47" s="8">
        <f t="shared" si="21"/>
        <v>0.64047544682638857</v>
      </c>
      <c r="AP47" s="8">
        <f t="shared" si="22"/>
        <v>33.182318041899862</v>
      </c>
      <c r="AQ47" s="8">
        <f t="shared" si="23"/>
        <v>6.5585614473324245</v>
      </c>
      <c r="AR47" s="8">
        <f t="shared" si="24"/>
        <v>18.622924546905299</v>
      </c>
      <c r="AS47" s="8">
        <f t="shared" si="25"/>
        <v>34.206375490032997</v>
      </c>
      <c r="AT47" s="8">
        <f t="shared" si="26"/>
        <v>6.5136811119544298</v>
      </c>
      <c r="AU47" s="14">
        <f t="shared" si="27"/>
        <v>100</v>
      </c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</row>
    <row r="48" spans="1:189">
      <c r="A48" s="1" t="s">
        <v>12</v>
      </c>
      <c r="B48" s="12">
        <v>221.37</v>
      </c>
      <c r="C48" s="12">
        <v>2943.0699999999997</v>
      </c>
      <c r="D48" s="12">
        <v>-1367.2699999999998</v>
      </c>
      <c r="E48" s="12">
        <v>2968.9699999999993</v>
      </c>
      <c r="F48" s="13" t="s">
        <v>131</v>
      </c>
      <c r="G48" s="12" t="s">
        <v>295</v>
      </c>
      <c r="H48" s="2" t="s">
        <v>188</v>
      </c>
      <c r="I48" s="8">
        <v>0.46971406472509453</v>
      </c>
      <c r="J48" s="8">
        <v>2.1433422904098434</v>
      </c>
      <c r="K48" s="8">
        <v>8.4450467381296068</v>
      </c>
      <c r="L48" s="8">
        <v>9.5984233522049553</v>
      </c>
      <c r="M48" s="8">
        <v>127.46190717548943</v>
      </c>
      <c r="N48" s="8">
        <v>118.96437533875158</v>
      </c>
      <c r="O48" s="8">
        <v>8.8900887244044373</v>
      </c>
      <c r="P48" s="8"/>
      <c r="Q48" s="8"/>
      <c r="R48" s="8">
        <f t="shared" si="4"/>
        <v>246.426282514241</v>
      </c>
      <c r="S48" s="8">
        <f t="shared" si="5"/>
        <v>255.31637123864544</v>
      </c>
      <c r="T48" s="8">
        <f t="shared" si="6"/>
        <v>264.91479459085042</v>
      </c>
      <c r="U48" s="8">
        <f t="shared" si="7"/>
        <v>267.08280895971052</v>
      </c>
      <c r="V48" s="8">
        <f t="shared" si="8"/>
        <v>275.97289768411497</v>
      </c>
      <c r="W48" s="8">
        <f t="shared" si="9"/>
        <v>256.02470586644597</v>
      </c>
      <c r="X48" s="8">
        <f t="shared" si="10"/>
        <v>11.058103093264545</v>
      </c>
      <c r="AA48" s="8">
        <f t="shared" si="11"/>
        <v>1.0714292141033068</v>
      </c>
      <c r="AB48" s="14">
        <f t="shared" si="12"/>
        <v>23.152678511596605</v>
      </c>
      <c r="AE48" s="15">
        <f t="shared" si="13"/>
        <v>9.6648984511336325E-4</v>
      </c>
      <c r="AF48" s="15">
        <f t="shared" si="14"/>
        <v>4.5603027455528586E-3</v>
      </c>
      <c r="AG48" s="15">
        <f t="shared" si="15"/>
        <v>1.2203824766083247E-2</v>
      </c>
      <c r="AH48" s="15">
        <f t="shared" si="16"/>
        <v>6.8073924483723083E-2</v>
      </c>
      <c r="AI48" s="15">
        <f t="shared" si="17"/>
        <v>0.12695409081224046</v>
      </c>
      <c r="AJ48" s="15">
        <f t="shared" si="18"/>
        <v>0.20232036622236663</v>
      </c>
      <c r="AK48" s="15">
        <f t="shared" si="19"/>
        <v>6.0891018660304365E-2</v>
      </c>
      <c r="AN48" s="8">
        <f t="shared" si="20"/>
        <v>0.17020296872149387</v>
      </c>
      <c r="AO48" s="8">
        <f t="shared" si="21"/>
        <v>0.77664955812550951</v>
      </c>
      <c r="AP48" s="8">
        <f t="shared" si="22"/>
        <v>3.060100034821537</v>
      </c>
      <c r="AQ48" s="8">
        <f t="shared" si="23"/>
        <v>3.4780311518819995</v>
      </c>
      <c r="AR48" s="8">
        <f t="shared" si="24"/>
        <v>46.186385781036115</v>
      </c>
      <c r="AS48" s="8">
        <f t="shared" si="25"/>
        <v>43.107267538612064</v>
      </c>
      <c r="AT48" s="8">
        <f t="shared" si="26"/>
        <v>3.2213629668012693</v>
      </c>
      <c r="AU48" s="14">
        <f t="shared" si="27"/>
        <v>99.999999999999986</v>
      </c>
    </row>
    <row r="49" spans="1:189">
      <c r="A49" s="1" t="s">
        <v>11</v>
      </c>
      <c r="B49" s="12">
        <v>221.5</v>
      </c>
      <c r="C49" s="12">
        <v>2943.2</v>
      </c>
      <c r="D49" s="12">
        <v>-1367.3999999999999</v>
      </c>
      <c r="E49" s="12">
        <v>2969.0999999999995</v>
      </c>
      <c r="F49" s="13" t="s">
        <v>131</v>
      </c>
      <c r="G49" s="12" t="s">
        <v>295</v>
      </c>
      <c r="H49" s="2" t="s">
        <v>188</v>
      </c>
      <c r="I49" s="8">
        <v>9.6444684630793809</v>
      </c>
      <c r="J49" s="8">
        <v>21.219717941713533</v>
      </c>
      <c r="K49" s="8">
        <v>53.121857166623521</v>
      </c>
      <c r="L49" s="8">
        <v>83.295641652501999</v>
      </c>
      <c r="M49" s="8">
        <v>801.1562300024849</v>
      </c>
      <c r="N49" s="8">
        <v>3410.9992436790194</v>
      </c>
      <c r="O49" s="8">
        <v>24.117816395845971</v>
      </c>
      <c r="P49" s="8"/>
      <c r="Q49" s="8"/>
      <c r="R49" s="8">
        <f t="shared" si="4"/>
        <v>4212.1554736815042</v>
      </c>
      <c r="S49" s="8">
        <f t="shared" si="5"/>
        <v>4236.2732900773508</v>
      </c>
      <c r="T49" s="8">
        <f t="shared" si="6"/>
        <v>4319.568931729852</v>
      </c>
      <c r="U49" s="8">
        <f t="shared" si="7"/>
        <v>4379.4371589054226</v>
      </c>
      <c r="V49" s="8">
        <f t="shared" si="8"/>
        <v>4403.5549753012683</v>
      </c>
      <c r="W49" s="8">
        <f t="shared" si="9"/>
        <v>4295.4511153340063</v>
      </c>
      <c r="X49" s="8">
        <f t="shared" si="10"/>
        <v>83.986043571416431</v>
      </c>
      <c r="AA49" s="8">
        <f t="shared" si="11"/>
        <v>0.23487434993927986</v>
      </c>
      <c r="AB49" s="14">
        <f t="shared" si="12"/>
        <v>51.1448204091365</v>
      </c>
      <c r="AE49" s="15">
        <f t="shared" si="13"/>
        <v>1.9844585314978149E-2</v>
      </c>
      <c r="AF49" s="15">
        <f t="shared" si="14"/>
        <v>4.5148336046199007E-2</v>
      </c>
      <c r="AG49" s="15">
        <f t="shared" si="15"/>
        <v>7.6765689547143814E-2</v>
      </c>
      <c r="AH49" s="15">
        <f t="shared" si="16"/>
        <v>0.59074923157802839</v>
      </c>
      <c r="AI49" s="15">
        <f t="shared" si="17"/>
        <v>0.79796437251243513</v>
      </c>
      <c r="AJ49" s="15">
        <f t="shared" si="18"/>
        <v>5.801019121903094</v>
      </c>
      <c r="AK49" s="15">
        <f t="shared" si="19"/>
        <v>0.16519052325921899</v>
      </c>
      <c r="AN49" s="8">
        <f t="shared" si="20"/>
        <v>0.21901551172117606</v>
      </c>
      <c r="AO49" s="8">
        <f t="shared" si="21"/>
        <v>0.48187698486180003</v>
      </c>
      <c r="AP49" s="8">
        <f t="shared" si="22"/>
        <v>1.2063402742687277</v>
      </c>
      <c r="AQ49" s="8">
        <f t="shared" si="23"/>
        <v>1.8915544854030883</v>
      </c>
      <c r="AR49" s="8">
        <f t="shared" si="24"/>
        <v>18.193396800903432</v>
      </c>
      <c r="AS49" s="8">
        <f t="shared" si="25"/>
        <v>77.460126257323637</v>
      </c>
      <c r="AT49" s="8">
        <f t="shared" si="26"/>
        <v>0.54768968551814101</v>
      </c>
      <c r="AU49" s="14">
        <f t="shared" si="27"/>
        <v>100</v>
      </c>
    </row>
    <row r="50" spans="1:189">
      <c r="A50" s="1" t="s">
        <v>10</v>
      </c>
      <c r="B50" s="12">
        <v>221.7</v>
      </c>
      <c r="C50" s="12">
        <v>2943.3999999999996</v>
      </c>
      <c r="D50" s="12">
        <v>-1367.5999999999997</v>
      </c>
      <c r="E50" s="12">
        <v>2969.2999999999993</v>
      </c>
      <c r="F50" s="13" t="s">
        <v>132</v>
      </c>
      <c r="G50" s="12" t="s">
        <v>25</v>
      </c>
      <c r="H50" s="2" t="s">
        <v>188</v>
      </c>
      <c r="I50" s="8">
        <v>17.830390939963703</v>
      </c>
      <c r="J50" s="8">
        <v>40.255125980165417</v>
      </c>
      <c r="K50" s="8">
        <v>58.460292417205217</v>
      </c>
      <c r="L50" s="8">
        <v>297.13447987354039</v>
      </c>
      <c r="M50" s="8">
        <v>4875.2110106008458</v>
      </c>
      <c r="N50" s="8">
        <v>4276.2496803881695</v>
      </c>
      <c r="O50" s="8">
        <v>569.67488923802057</v>
      </c>
      <c r="P50" s="8"/>
      <c r="Q50" s="8"/>
      <c r="R50" s="8">
        <f t="shared" si="4"/>
        <v>9151.4606909890153</v>
      </c>
      <c r="S50" s="8">
        <f t="shared" si="5"/>
        <v>9721.1355802270355</v>
      </c>
      <c r="T50" s="8">
        <f t="shared" si="6"/>
        <v>10018.270060100576</v>
      </c>
      <c r="U50" s="8">
        <f t="shared" si="7"/>
        <v>9565.1409801998889</v>
      </c>
      <c r="V50" s="8">
        <f t="shared" si="8"/>
        <v>10134.815869437909</v>
      </c>
      <c r="W50" s="8">
        <f t="shared" si="9"/>
        <v>9448.5951708625562</v>
      </c>
      <c r="X50" s="8">
        <f t="shared" si="10"/>
        <v>116.54580933733433</v>
      </c>
      <c r="AA50" s="8">
        <f t="shared" si="11"/>
        <v>1.1400669687178571</v>
      </c>
      <c r="AB50" s="14">
        <f t="shared" si="12"/>
        <v>81.071942651444516</v>
      </c>
      <c r="AE50" s="15">
        <f t="shared" si="13"/>
        <v>3.6688047201571407E-2</v>
      </c>
      <c r="AF50" s="15">
        <f t="shared" si="14"/>
        <v>8.5649204213117905E-2</v>
      </c>
      <c r="AG50" s="15">
        <f t="shared" si="15"/>
        <v>8.4480191354342801E-2</v>
      </c>
      <c r="AH50" s="15">
        <f t="shared" si="16"/>
        <v>2.1073367366917757</v>
      </c>
      <c r="AI50" s="15">
        <f t="shared" si="17"/>
        <v>4.855787859164189</v>
      </c>
      <c r="AJ50" s="15">
        <f t="shared" si="18"/>
        <v>7.2725334700479074</v>
      </c>
      <c r="AK50" s="15">
        <f t="shared" si="19"/>
        <v>3.9018828030001407</v>
      </c>
      <c r="AN50" s="8">
        <f t="shared" si="20"/>
        <v>0.17593206595624711</v>
      </c>
      <c r="AO50" s="8">
        <f t="shared" si="21"/>
        <v>0.39719642170862668</v>
      </c>
      <c r="AP50" s="8">
        <f t="shared" si="22"/>
        <v>0.57682638905651384</v>
      </c>
      <c r="AQ50" s="8">
        <f t="shared" si="23"/>
        <v>2.9318192229773574</v>
      </c>
      <c r="AR50" s="8">
        <f t="shared" si="24"/>
        <v>48.103597277009357</v>
      </c>
      <c r="AS50" s="8">
        <f t="shared" si="25"/>
        <v>42.19365931731857</v>
      </c>
      <c r="AT50" s="8">
        <f t="shared" si="26"/>
        <v>5.6209693059733459</v>
      </c>
      <c r="AU50" s="14">
        <f t="shared" si="27"/>
        <v>100.00000000000003</v>
      </c>
    </row>
    <row r="51" spans="1:189">
      <c r="A51" s="1" t="s">
        <v>116</v>
      </c>
      <c r="B51" s="12">
        <v>221.9</v>
      </c>
      <c r="C51" s="12">
        <v>2943.6</v>
      </c>
      <c r="D51" s="12">
        <v>-1367.8</v>
      </c>
      <c r="E51" s="12">
        <v>2969.4999999999995</v>
      </c>
      <c r="F51" s="13" t="s">
        <v>132</v>
      </c>
      <c r="G51" s="12" t="s">
        <v>291</v>
      </c>
      <c r="H51" s="2" t="s">
        <v>199</v>
      </c>
      <c r="I51" s="8">
        <v>0.3165537421612814</v>
      </c>
      <c r="J51" s="8">
        <v>0.85566736157928969</v>
      </c>
      <c r="K51" s="8">
        <v>2.2006096030656623</v>
      </c>
      <c r="L51" s="8">
        <v>2.9258111336472483</v>
      </c>
      <c r="M51" s="8">
        <v>24.883222949997929</v>
      </c>
      <c r="N51" s="8">
        <v>25.071728451672733</v>
      </c>
      <c r="O51" s="8">
        <v>0.60385687954235112</v>
      </c>
      <c r="P51" s="8"/>
      <c r="Q51" s="8"/>
      <c r="R51" s="8">
        <f t="shared" si="4"/>
        <v>49.954951401670662</v>
      </c>
      <c r="S51" s="8">
        <f t="shared" si="5"/>
        <v>50.558808281213018</v>
      </c>
      <c r="T51" s="8">
        <f t="shared" si="6"/>
        <v>53.484619414860262</v>
      </c>
      <c r="U51" s="8">
        <f t="shared" si="7"/>
        <v>56.25359324212414</v>
      </c>
      <c r="V51" s="8">
        <f t="shared" si="8"/>
        <v>56.857450121666488</v>
      </c>
      <c r="W51" s="8">
        <f t="shared" si="9"/>
        <v>52.880762535317913</v>
      </c>
      <c r="X51" s="8">
        <f t="shared" si="10"/>
        <v>3.3728307068062335</v>
      </c>
      <c r="AA51" s="8">
        <f t="shared" si="11"/>
        <v>0.99248135197227583</v>
      </c>
      <c r="AB51" s="14">
        <f t="shared" si="12"/>
        <v>15.678451464701952</v>
      </c>
      <c r="AE51" s="15">
        <f t="shared" si="13"/>
        <v>6.5134514848000293E-4</v>
      </c>
      <c r="AF51" s="15">
        <f t="shared" si="14"/>
        <v>1.8205688544240205E-3</v>
      </c>
      <c r="AG51" s="15">
        <f t="shared" si="15"/>
        <v>3.1800716807307257E-3</v>
      </c>
      <c r="AH51" s="15">
        <f t="shared" si="16"/>
        <v>2.0750433571966299E-2</v>
      </c>
      <c r="AI51" s="15">
        <f t="shared" si="17"/>
        <v>2.4784086603583593E-2</v>
      </c>
      <c r="AJ51" s="15">
        <f t="shared" si="18"/>
        <v>4.2638993965429819E-2</v>
      </c>
      <c r="AK51" s="15">
        <f t="shared" si="19"/>
        <v>4.1360060242626789E-3</v>
      </c>
      <c r="AN51" s="8">
        <f t="shared" si="20"/>
        <v>0.55674980408706942</v>
      </c>
      <c r="AO51" s="8">
        <f t="shared" si="21"/>
        <v>1.5049344628510226</v>
      </c>
      <c r="AP51" s="8">
        <f t="shared" si="22"/>
        <v>3.8703979836533033</v>
      </c>
      <c r="AQ51" s="8">
        <f t="shared" si="23"/>
        <v>5.1458711697173332</v>
      </c>
      <c r="AR51" s="8">
        <f t="shared" si="24"/>
        <v>43.764225966432775</v>
      </c>
      <c r="AS51" s="8">
        <f t="shared" si="25"/>
        <v>44.095766514367007</v>
      </c>
      <c r="AT51" s="8">
        <f t="shared" si="26"/>
        <v>1.0620540988915035</v>
      </c>
      <c r="AU51" s="14">
        <f t="shared" si="27"/>
        <v>100.00000000000003</v>
      </c>
    </row>
    <row r="52" spans="1:189">
      <c r="A52" s="1" t="s">
        <v>117</v>
      </c>
      <c r="B52" s="12">
        <v>225.3</v>
      </c>
      <c r="C52" s="12">
        <v>2947</v>
      </c>
      <c r="D52" s="12">
        <v>-1371.2</v>
      </c>
      <c r="E52" s="12">
        <v>2972.8999999999996</v>
      </c>
      <c r="F52" s="13" t="s">
        <v>132</v>
      </c>
      <c r="G52" s="12" t="s">
        <v>294</v>
      </c>
      <c r="H52" s="2" t="s">
        <v>199</v>
      </c>
      <c r="I52" s="8">
        <v>0.22523338038749999</v>
      </c>
      <c r="J52" s="8">
        <v>0.38499061890609876</v>
      </c>
      <c r="K52" s="8">
        <v>4.6801841288936075</v>
      </c>
      <c r="L52" s="8">
        <v>0.33976344544776316</v>
      </c>
      <c r="M52" s="8">
        <v>10.278220542323799</v>
      </c>
      <c r="N52" s="8">
        <v>12.229341137158734</v>
      </c>
      <c r="O52" s="8">
        <v>3.7781255398790674</v>
      </c>
      <c r="P52" s="8"/>
      <c r="Q52" s="8"/>
      <c r="R52" s="8">
        <f t="shared" si="4"/>
        <v>22.507561679482535</v>
      </c>
      <c r="S52" s="8">
        <f t="shared" si="5"/>
        <v>26.285687219361598</v>
      </c>
      <c r="T52" s="8">
        <f t="shared" si="6"/>
        <v>26.625450664809364</v>
      </c>
      <c r="U52" s="8">
        <f t="shared" si="7"/>
        <v>28.137733253117503</v>
      </c>
      <c r="V52" s="8">
        <f t="shared" si="8"/>
        <v>31.91585879299657</v>
      </c>
      <c r="W52" s="8">
        <f t="shared" si="9"/>
        <v>22.847325124930297</v>
      </c>
      <c r="X52" s="8">
        <f t="shared" si="10"/>
        <v>5.290408128187206</v>
      </c>
      <c r="AA52" s="8">
        <f t="shared" si="11"/>
        <v>0.84045578801408416</v>
      </c>
      <c r="AB52" s="14">
        <f t="shared" si="12"/>
        <v>4.3186318656967373</v>
      </c>
      <c r="AE52" s="15">
        <f t="shared" si="13"/>
        <v>4.6344316952160494E-4</v>
      </c>
      <c r="AF52" s="15">
        <f t="shared" si="14"/>
        <v>8.1912897639595478E-4</v>
      </c>
      <c r="AG52" s="15">
        <f t="shared" si="15"/>
        <v>6.7632718625630162E-3</v>
      </c>
      <c r="AH52" s="15">
        <f t="shared" si="16"/>
        <v>2.4096698258706606E-3</v>
      </c>
      <c r="AI52" s="15">
        <f t="shared" si="17"/>
        <v>1.0237271456497807E-2</v>
      </c>
      <c r="AJ52" s="15">
        <f t="shared" si="18"/>
        <v>2.079819921285499E-2</v>
      </c>
      <c r="AK52" s="15">
        <f t="shared" si="19"/>
        <v>2.5877572190952516E-2</v>
      </c>
      <c r="AN52" s="8">
        <f t="shared" si="20"/>
        <v>0.7057099163407875</v>
      </c>
      <c r="AO52" s="8">
        <f t="shared" si="21"/>
        <v>1.2062674590808091</v>
      </c>
      <c r="AP52" s="8">
        <f t="shared" si="22"/>
        <v>14.664133461828074</v>
      </c>
      <c r="AQ52" s="8">
        <f t="shared" si="23"/>
        <v>1.064559934455904</v>
      </c>
      <c r="AR52" s="8">
        <f t="shared" si="24"/>
        <v>32.204117109890184</v>
      </c>
      <c r="AS52" s="8">
        <f t="shared" si="25"/>
        <v>38.317443426721354</v>
      </c>
      <c r="AT52" s="8">
        <f t="shared" si="26"/>
        <v>11.837768691682887</v>
      </c>
      <c r="AU52" s="14">
        <f t="shared" si="27"/>
        <v>100</v>
      </c>
    </row>
    <row r="53" spans="1:189">
      <c r="A53" s="1" t="s">
        <v>118</v>
      </c>
      <c r="B53" s="12">
        <v>227.9</v>
      </c>
      <c r="C53" s="12">
        <v>2949.6</v>
      </c>
      <c r="D53" s="12">
        <v>-1373.8</v>
      </c>
      <c r="E53" s="12">
        <v>2975.4999999999995</v>
      </c>
      <c r="F53" s="13" t="s">
        <v>132</v>
      </c>
      <c r="G53" s="12" t="s">
        <v>294</v>
      </c>
      <c r="H53" s="2" t="s">
        <v>199</v>
      </c>
      <c r="I53" s="8">
        <v>0.16973558949689696</v>
      </c>
      <c r="J53" s="8">
        <v>0.45098752984920149</v>
      </c>
      <c r="K53" s="8">
        <v>1.125543675813844</v>
      </c>
      <c r="L53" s="8">
        <v>0.45907546111931868</v>
      </c>
      <c r="M53" s="8">
        <v>1.6441502105410928</v>
      </c>
      <c r="N53" s="8">
        <v>0.47614393402925376</v>
      </c>
      <c r="O53" s="8">
        <v>0.57421535847304805</v>
      </c>
      <c r="P53" s="8"/>
      <c r="Q53" s="8"/>
      <c r="R53" s="8">
        <f t="shared" si="4"/>
        <v>2.1202941445703467</v>
      </c>
      <c r="S53" s="8">
        <f t="shared" si="5"/>
        <v>2.6945095030433945</v>
      </c>
      <c r="T53" s="8">
        <f t="shared" si="6"/>
        <v>3.1535849641627136</v>
      </c>
      <c r="U53" s="8">
        <f t="shared" si="7"/>
        <v>4.325636400849608</v>
      </c>
      <c r="V53" s="8">
        <f t="shared" si="8"/>
        <v>4.8998517593226563</v>
      </c>
      <c r="W53" s="8">
        <f t="shared" si="9"/>
        <v>2.5793696056896653</v>
      </c>
      <c r="X53" s="8">
        <f t="shared" si="10"/>
        <v>1.7462667951599424</v>
      </c>
      <c r="AA53" s="8">
        <f t="shared" si="11"/>
        <v>3.4530529384840971</v>
      </c>
      <c r="AB53" s="14">
        <f t="shared" si="12"/>
        <v>1.4770764769958409</v>
      </c>
      <c r="AE53" s="15">
        <f t="shared" si="13"/>
        <v>3.4925018414999376E-4</v>
      </c>
      <c r="AF53" s="15">
        <f t="shared" si="14"/>
        <v>9.5954793584936485E-4</v>
      </c>
      <c r="AG53" s="15">
        <f t="shared" si="15"/>
        <v>1.6265082020431271E-3</v>
      </c>
      <c r="AH53" s="15">
        <f t="shared" si="16"/>
        <v>3.255854334179565E-3</v>
      </c>
      <c r="AI53" s="15">
        <f t="shared" si="17"/>
        <v>1.6375998112959091E-3</v>
      </c>
      <c r="AJ53" s="15">
        <f t="shared" si="18"/>
        <v>8.0976859528784657E-4</v>
      </c>
      <c r="AK53" s="15">
        <f t="shared" si="19"/>
        <v>3.9329819073496445E-3</v>
      </c>
      <c r="AN53" s="8">
        <f t="shared" si="20"/>
        <v>3.4640964223856603</v>
      </c>
      <c r="AO53" s="8">
        <f t="shared" si="21"/>
        <v>9.2041055934219713</v>
      </c>
      <c r="AP53" s="8">
        <f t="shared" si="22"/>
        <v>22.970974043701201</v>
      </c>
      <c r="AQ53" s="8">
        <f t="shared" si="23"/>
        <v>9.3691704089998886</v>
      </c>
      <c r="AR53" s="8">
        <f t="shared" si="24"/>
        <v>33.555101078575817</v>
      </c>
      <c r="AS53" s="8">
        <f t="shared" si="25"/>
        <v>9.7175171294381109</v>
      </c>
      <c r="AT53" s="8">
        <f t="shared" si="26"/>
        <v>11.719035323477341</v>
      </c>
      <c r="AU53" s="14">
        <f t="shared" si="27"/>
        <v>99.999999999999986</v>
      </c>
    </row>
    <row r="54" spans="1:189" s="16" customFormat="1">
      <c r="A54" s="1" t="s">
        <v>90</v>
      </c>
      <c r="B54" s="12">
        <v>229.15</v>
      </c>
      <c r="C54" s="12">
        <v>2950.85</v>
      </c>
      <c r="D54" s="12">
        <v>-1375.05</v>
      </c>
      <c r="E54" s="12">
        <v>2976.7499999999995</v>
      </c>
      <c r="F54" s="13" t="s">
        <v>132</v>
      </c>
      <c r="G54" s="12" t="s">
        <v>297</v>
      </c>
      <c r="H54" s="2" t="s">
        <v>193</v>
      </c>
      <c r="I54" s="8">
        <v>0.15468453590785908</v>
      </c>
      <c r="J54" s="8">
        <v>0.127471816216323</v>
      </c>
      <c r="K54" s="8">
        <v>0.31824908397203178</v>
      </c>
      <c r="L54" s="8">
        <v>0.14014483447488582</v>
      </c>
      <c r="M54" s="8">
        <v>2.0535727604654794</v>
      </c>
      <c r="N54" s="8">
        <v>1.2497852366255144</v>
      </c>
      <c r="O54" s="8">
        <v>1.656653592139175</v>
      </c>
      <c r="P54" s="8"/>
      <c r="Q54" s="8"/>
      <c r="R54" s="8">
        <f t="shared" si="4"/>
        <v>3.3033579970909939</v>
      </c>
      <c r="S54" s="8">
        <f t="shared" si="5"/>
        <v>4.9600115892301684</v>
      </c>
      <c r="T54" s="8">
        <f t="shared" si="6"/>
        <v>5.1001564237050552</v>
      </c>
      <c r="U54" s="8">
        <f t="shared" si="7"/>
        <v>4.0439082676620934</v>
      </c>
      <c r="V54" s="8">
        <f t="shared" si="8"/>
        <v>5.7005618598012688</v>
      </c>
      <c r="W54" s="8">
        <f t="shared" si="9"/>
        <v>3.4435028315658798</v>
      </c>
      <c r="X54" s="8">
        <f t="shared" si="10"/>
        <v>0.60040543609621388</v>
      </c>
      <c r="Y54" s="8"/>
      <c r="Z54" s="11"/>
      <c r="AA54" s="8">
        <f t="shared" si="11"/>
        <v>1.6431405174942164</v>
      </c>
      <c r="AB54" s="14">
        <f t="shared" si="12"/>
        <v>5.7352958926475557</v>
      </c>
      <c r="AC54" s="11"/>
      <c r="AD54" s="11"/>
      <c r="AE54" s="15">
        <f t="shared" si="13"/>
        <v>3.1828093808201457E-4</v>
      </c>
      <c r="AF54" s="15">
        <f t="shared" si="14"/>
        <v>2.7121663024749575E-4</v>
      </c>
      <c r="AG54" s="15">
        <f t="shared" si="15"/>
        <v>4.5989752019079736E-4</v>
      </c>
      <c r="AH54" s="15">
        <f t="shared" si="16"/>
        <v>9.9393499627578596E-4</v>
      </c>
      <c r="AI54" s="15">
        <f t="shared" si="17"/>
        <v>2.0453911956827484E-3</v>
      </c>
      <c r="AJ54" s="15">
        <f t="shared" si="18"/>
        <v>2.1254850963018952E-3</v>
      </c>
      <c r="AK54" s="15">
        <f t="shared" si="19"/>
        <v>1.1346942411912158E-2</v>
      </c>
      <c r="AL54" s="11"/>
      <c r="AM54" s="11"/>
      <c r="AN54" s="8">
        <f t="shared" si="20"/>
        <v>2.713496313383601</v>
      </c>
      <c r="AO54" s="8">
        <f t="shared" si="21"/>
        <v>2.2361272336191593</v>
      </c>
      <c r="AP54" s="8">
        <f t="shared" si="22"/>
        <v>5.5827669587489837</v>
      </c>
      <c r="AQ54" s="8">
        <f t="shared" si="23"/>
        <v>2.4584389735886751</v>
      </c>
      <c r="AR54" s="8">
        <f t="shared" si="24"/>
        <v>36.024041330849983</v>
      </c>
      <c r="AS54" s="8">
        <f t="shared" si="25"/>
        <v>21.923895702959427</v>
      </c>
      <c r="AT54" s="8">
        <f t="shared" si="26"/>
        <v>29.061233486850167</v>
      </c>
      <c r="AU54" s="14">
        <f t="shared" si="27"/>
        <v>100</v>
      </c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</row>
    <row r="55" spans="1:189" s="16" customFormat="1">
      <c r="A55" s="1" t="s">
        <v>102</v>
      </c>
      <c r="B55" s="12">
        <v>230.24</v>
      </c>
      <c r="C55" s="12">
        <v>2951.8999999999996</v>
      </c>
      <c r="D55" s="12">
        <v>-1376.0999999999997</v>
      </c>
      <c r="E55" s="12">
        <v>2977.7999999999993</v>
      </c>
      <c r="F55" s="13" t="s">
        <v>132</v>
      </c>
      <c r="G55" s="12" t="s">
        <v>297</v>
      </c>
      <c r="H55" s="2" t="s">
        <v>192</v>
      </c>
      <c r="I55" s="8">
        <v>5.4923197562839997E-2</v>
      </c>
      <c r="J55" s="8">
        <v>8.2618254414319997E-2</v>
      </c>
      <c r="K55" s="8">
        <v>1.3990817666996</v>
      </c>
      <c r="L55" s="8">
        <v>0.33741335417524698</v>
      </c>
      <c r="M55" s="8">
        <v>4.35222200279975</v>
      </c>
      <c r="N55" s="8">
        <v>8.407455498822582</v>
      </c>
      <c r="O55" s="8">
        <v>0.25212650808369569</v>
      </c>
      <c r="P55" s="8"/>
      <c r="Q55" s="8"/>
      <c r="R55" s="8">
        <f t="shared" si="4"/>
        <v>12.759677501622331</v>
      </c>
      <c r="S55" s="8">
        <f t="shared" si="5"/>
        <v>13.011804009706029</v>
      </c>
      <c r="T55" s="8">
        <f t="shared" si="6"/>
        <v>13.349217363881275</v>
      </c>
      <c r="U55" s="8">
        <f t="shared" si="7"/>
        <v>14.633714074474339</v>
      </c>
      <c r="V55" s="8">
        <f t="shared" si="8"/>
        <v>14.885840582558036</v>
      </c>
      <c r="W55" s="8">
        <f t="shared" si="9"/>
        <v>13.097090855797578</v>
      </c>
      <c r="X55" s="8">
        <f t="shared" si="10"/>
        <v>1.5366232186767601</v>
      </c>
      <c r="Y55" s="8"/>
      <c r="Z55" s="11"/>
      <c r="AA55" s="8">
        <f t="shared" si="11"/>
        <v>0.51766221104699928</v>
      </c>
      <c r="AB55" s="14">
        <f t="shared" si="12"/>
        <v>8.5232936067931728</v>
      </c>
      <c r="AC55" s="11"/>
      <c r="AD55" s="11"/>
      <c r="AE55" s="15">
        <f t="shared" si="13"/>
        <v>1.1301069457374485E-4</v>
      </c>
      <c r="AF55" s="15">
        <f t="shared" si="14"/>
        <v>1.7578352003046809E-4</v>
      </c>
      <c r="AG55" s="15">
        <f t="shared" si="15"/>
        <v>2.021794460548555E-3</v>
      </c>
      <c r="AH55" s="15">
        <f t="shared" si="16"/>
        <v>2.3930025118811841E-3</v>
      </c>
      <c r="AI55" s="15">
        <f t="shared" si="17"/>
        <v>4.3348824729081172E-3</v>
      </c>
      <c r="AJ55" s="15">
        <f t="shared" si="18"/>
        <v>1.4298393705480581E-2</v>
      </c>
      <c r="AK55" s="15">
        <f t="shared" si="19"/>
        <v>1.7268938909842171E-3</v>
      </c>
      <c r="AL55" s="11"/>
      <c r="AM55" s="11"/>
      <c r="AN55" s="8">
        <f t="shared" si="20"/>
        <v>0.36896268812118238</v>
      </c>
      <c r="AO55" s="8">
        <f t="shared" si="21"/>
        <v>0.55501235523860881</v>
      </c>
      <c r="AP55" s="8">
        <f t="shared" si="22"/>
        <v>9.3987421062329872</v>
      </c>
      <c r="AQ55" s="8">
        <f t="shared" si="23"/>
        <v>2.2666731670537925</v>
      </c>
      <c r="AR55" s="8">
        <f t="shared" si="24"/>
        <v>29.23732777240215</v>
      </c>
      <c r="AS55" s="8">
        <f t="shared" si="25"/>
        <v>56.479548146402458</v>
      </c>
      <c r="AT55" s="8">
        <f t="shared" si="26"/>
        <v>1.6937337645488166</v>
      </c>
      <c r="AU55" s="14">
        <f t="shared" si="27"/>
        <v>99.999999999999986</v>
      </c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</row>
    <row r="56" spans="1:189" s="16" customFormat="1">
      <c r="A56" s="1" t="s">
        <v>103</v>
      </c>
      <c r="B56" s="12">
        <v>230.65</v>
      </c>
      <c r="C56" s="12">
        <v>2952.2999999999997</v>
      </c>
      <c r="D56" s="12">
        <v>-1376.4999999999998</v>
      </c>
      <c r="E56" s="12">
        <v>2978.1999999999994</v>
      </c>
      <c r="F56" s="13" t="s">
        <v>132</v>
      </c>
      <c r="G56" s="12" t="s">
        <v>297</v>
      </c>
      <c r="H56" s="2" t="s">
        <v>192</v>
      </c>
      <c r="I56" s="8">
        <v>8.1353566832528368E-2</v>
      </c>
      <c r="J56" s="8">
        <v>0.15979986431996479</v>
      </c>
      <c r="K56" s="8">
        <v>3.5555689536072728</v>
      </c>
      <c r="L56" s="8">
        <v>1.3591708357019847</v>
      </c>
      <c r="M56" s="8">
        <v>18.830567563886149</v>
      </c>
      <c r="N56" s="8">
        <v>98.007582222198025</v>
      </c>
      <c r="O56" s="8">
        <v>0.67868954391923941</v>
      </c>
      <c r="P56" s="8"/>
      <c r="Q56" s="8"/>
      <c r="R56" s="8">
        <f t="shared" si="4"/>
        <v>116.83814978608417</v>
      </c>
      <c r="S56" s="8">
        <f t="shared" si="5"/>
        <v>117.51683933000341</v>
      </c>
      <c r="T56" s="8">
        <f t="shared" si="6"/>
        <v>118.8760101657054</v>
      </c>
      <c r="U56" s="8">
        <f t="shared" si="7"/>
        <v>121.99404300654592</v>
      </c>
      <c r="V56" s="8">
        <f t="shared" si="8"/>
        <v>122.67273255046516</v>
      </c>
      <c r="W56" s="8">
        <f t="shared" si="9"/>
        <v>118.19732062178616</v>
      </c>
      <c r="X56" s="8">
        <f t="shared" si="10"/>
        <v>3.7967223847597658</v>
      </c>
      <c r="Y56" s="8"/>
      <c r="Z56" s="11"/>
      <c r="AA56" s="8">
        <f t="shared" si="11"/>
        <v>0.19213378329438227</v>
      </c>
      <c r="AB56" s="14">
        <f t="shared" si="12"/>
        <v>31.131409843457647</v>
      </c>
      <c r="AC56" s="11"/>
      <c r="AD56" s="11"/>
      <c r="AE56" s="15">
        <f t="shared" si="13"/>
        <v>1.6739417043730117E-4</v>
      </c>
      <c r="AF56" s="15">
        <f t="shared" si="14"/>
        <v>3.3999971131907402E-4</v>
      </c>
      <c r="AG56" s="15">
        <f t="shared" si="15"/>
        <v>5.1381054242879663E-3</v>
      </c>
      <c r="AH56" s="15">
        <f t="shared" si="16"/>
        <v>9.6395094730637211E-3</v>
      </c>
      <c r="AI56" s="15">
        <f t="shared" si="17"/>
        <v>1.8755545382356721E-2</v>
      </c>
      <c r="AJ56" s="15">
        <f t="shared" si="18"/>
        <v>0.1666795616023776</v>
      </c>
      <c r="AK56" s="15">
        <f t="shared" si="19"/>
        <v>4.6485585199947908E-3</v>
      </c>
      <c r="AL56" s="11"/>
      <c r="AM56" s="11"/>
      <c r="AN56" s="8">
        <f t="shared" si="20"/>
        <v>6.6317563113759706E-2</v>
      </c>
      <c r="AO56" s="8">
        <f t="shared" si="21"/>
        <v>0.13026518689002567</v>
      </c>
      <c r="AP56" s="8">
        <f t="shared" si="22"/>
        <v>2.8984183197717401</v>
      </c>
      <c r="AQ56" s="8">
        <f t="shared" si="23"/>
        <v>1.1079649139981851</v>
      </c>
      <c r="AR56" s="8">
        <f t="shared" si="24"/>
        <v>15.350247094348878</v>
      </c>
      <c r="AS56" s="8">
        <f t="shared" si="25"/>
        <v>79.893534760774671</v>
      </c>
      <c r="AT56" s="8">
        <f t="shared" si="26"/>
        <v>0.55325216110274533</v>
      </c>
      <c r="AU56" s="14">
        <f t="shared" si="27"/>
        <v>100.00000000000001</v>
      </c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</row>
    <row r="57" spans="1:189" s="16" customFormat="1">
      <c r="A57" s="1" t="s">
        <v>59</v>
      </c>
      <c r="B57" s="12">
        <v>232.07</v>
      </c>
      <c r="C57" s="12">
        <v>2953.77</v>
      </c>
      <c r="D57" s="12">
        <v>-1377.97</v>
      </c>
      <c r="E57" s="12">
        <v>2979.6699999999996</v>
      </c>
      <c r="F57" s="13" t="s">
        <v>132</v>
      </c>
      <c r="G57" s="12" t="s">
        <v>297</v>
      </c>
      <c r="H57" s="2" t="s">
        <v>193</v>
      </c>
      <c r="I57" s="8">
        <v>0.28700243278747067</v>
      </c>
      <c r="J57" s="8">
        <v>0.18273495848637894</v>
      </c>
      <c r="K57" s="8">
        <v>8.5127212191544093</v>
      </c>
      <c r="L57" s="8">
        <v>2.1179393945095142</v>
      </c>
      <c r="M57" s="8">
        <v>22.620125972085599</v>
      </c>
      <c r="N57" s="8">
        <v>75.718303152175494</v>
      </c>
      <c r="O57" s="8">
        <v>1.9440053318018697</v>
      </c>
      <c r="P57" s="8"/>
      <c r="Q57" s="8"/>
      <c r="R57" s="8">
        <f t="shared" si="4"/>
        <v>98.338429124261097</v>
      </c>
      <c r="S57" s="8">
        <f t="shared" si="5"/>
        <v>100.28243445606297</v>
      </c>
      <c r="T57" s="8">
        <f t="shared" si="6"/>
        <v>102.40037385057248</v>
      </c>
      <c r="U57" s="8">
        <f t="shared" si="7"/>
        <v>109.43882712919887</v>
      </c>
      <c r="V57" s="8">
        <f t="shared" si="8"/>
        <v>111.38283246100075</v>
      </c>
      <c r="W57" s="8">
        <f t="shared" si="9"/>
        <v>100.45636851877062</v>
      </c>
      <c r="X57" s="8">
        <f t="shared" si="10"/>
        <v>8.9824586104282584</v>
      </c>
      <c r="Y57" s="8"/>
      <c r="Z57" s="11"/>
      <c r="AA57" s="8">
        <f t="shared" si="11"/>
        <v>0.2987405294414035</v>
      </c>
      <c r="AB57" s="14">
        <f t="shared" si="12"/>
        <v>11.183616076131425</v>
      </c>
      <c r="AC57" s="11"/>
      <c r="AD57" s="11"/>
      <c r="AE57" s="15">
        <f t="shared" si="13"/>
        <v>5.9053998515940463E-4</v>
      </c>
      <c r="AF57" s="15">
        <f t="shared" si="14"/>
        <v>3.8879778401357219E-4</v>
      </c>
      <c r="AG57" s="15">
        <f t="shared" si="15"/>
        <v>1.2301620258893656E-2</v>
      </c>
      <c r="AH57" s="15">
        <f t="shared" si="16"/>
        <v>1.5020846769571022E-2</v>
      </c>
      <c r="AI57" s="15">
        <f t="shared" si="17"/>
        <v>2.2530005948292429E-2</v>
      </c>
      <c r="AJ57" s="15">
        <f t="shared" si="18"/>
        <v>0.12877262440846171</v>
      </c>
      <c r="AK57" s="15">
        <f t="shared" si="19"/>
        <v>1.3315105012341573E-2</v>
      </c>
      <c r="AL57" s="11"/>
      <c r="AM57" s="11"/>
      <c r="AN57" s="8">
        <f t="shared" si="20"/>
        <v>0.25767205452237069</v>
      </c>
      <c r="AO57" s="8">
        <f t="shared" si="21"/>
        <v>0.16406025457321818</v>
      </c>
      <c r="AP57" s="8">
        <f t="shared" si="22"/>
        <v>7.642758790619756</v>
      </c>
      <c r="AQ57" s="8">
        <f t="shared" si="23"/>
        <v>1.9014953630767859</v>
      </c>
      <c r="AR57" s="8">
        <f t="shared" si="24"/>
        <v>20.308449221746756</v>
      </c>
      <c r="AS57" s="8">
        <f t="shared" si="25"/>
        <v>67.980227723771776</v>
      </c>
      <c r="AT57" s="8">
        <f t="shared" si="26"/>
        <v>1.7453365916893324</v>
      </c>
      <c r="AU57" s="14">
        <f t="shared" si="27"/>
        <v>100</v>
      </c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</row>
    <row r="58" spans="1:189" s="16" customFormat="1">
      <c r="A58" s="1" t="s">
        <v>104</v>
      </c>
      <c r="B58" s="12">
        <v>232.52</v>
      </c>
      <c r="C58" s="12">
        <v>2953.75</v>
      </c>
      <c r="D58" s="12">
        <v>-1377.95</v>
      </c>
      <c r="E58" s="12">
        <v>2979.6499999999996</v>
      </c>
      <c r="F58" s="13" t="s">
        <v>132</v>
      </c>
      <c r="G58" s="12" t="s">
        <v>290</v>
      </c>
      <c r="H58" s="2" t="s">
        <v>192</v>
      </c>
      <c r="I58" s="8">
        <v>14.836502881110002</v>
      </c>
      <c r="J58" s="8">
        <v>25.798914022865954</v>
      </c>
      <c r="K58" s="8">
        <v>46.848479696837344</v>
      </c>
      <c r="L58" s="8">
        <v>151.14516720420977</v>
      </c>
      <c r="M58" s="8">
        <v>2461.735863475129</v>
      </c>
      <c r="N58" s="8">
        <v>2335.8764535473088</v>
      </c>
      <c r="O58" s="8">
        <v>5.9751126929394323</v>
      </c>
      <c r="P58" s="8"/>
      <c r="Q58" s="8"/>
      <c r="R58" s="8">
        <f t="shared" si="4"/>
        <v>4797.6123170224382</v>
      </c>
      <c r="S58" s="8">
        <f t="shared" si="5"/>
        <v>4803.5874297153769</v>
      </c>
      <c r="T58" s="8">
        <f t="shared" si="6"/>
        <v>4954.7325969195872</v>
      </c>
      <c r="U58" s="8">
        <f t="shared" si="7"/>
        <v>5036.2413808274614</v>
      </c>
      <c r="V58" s="8">
        <f t="shared" si="8"/>
        <v>5042.2164935204009</v>
      </c>
      <c r="W58" s="8">
        <f t="shared" si="9"/>
        <v>4948.7574842266476</v>
      </c>
      <c r="X58" s="8">
        <f t="shared" si="10"/>
        <v>87.483896600813296</v>
      </c>
      <c r="Y58" s="8"/>
      <c r="Z58" s="11"/>
      <c r="AA58" s="8">
        <f t="shared" si="11"/>
        <v>1.0538810217195724</v>
      </c>
      <c r="AB58" s="14">
        <f t="shared" si="12"/>
        <v>56.567639034275039</v>
      </c>
      <c r="AC58" s="11"/>
      <c r="AD58" s="11"/>
      <c r="AE58" s="15">
        <f t="shared" si="13"/>
        <v>3.052778370598766E-2</v>
      </c>
      <c r="AF58" s="15">
        <f t="shared" si="14"/>
        <v>5.4891306431629691E-2</v>
      </c>
      <c r="AG58" s="15">
        <f t="shared" si="15"/>
        <v>6.77001151688401E-2</v>
      </c>
      <c r="AH58" s="15">
        <f t="shared" si="16"/>
        <v>1.0719515404553885</v>
      </c>
      <c r="AI58" s="15">
        <f t="shared" si="17"/>
        <v>2.4519281508716424</v>
      </c>
      <c r="AJ58" s="15">
        <f t="shared" si="18"/>
        <v>3.9725790026314773</v>
      </c>
      <c r="AK58" s="15">
        <f t="shared" si="19"/>
        <v>4.0925429403694744E-2</v>
      </c>
      <c r="AL58" s="11"/>
      <c r="AM58" s="11"/>
      <c r="AN58" s="8">
        <f t="shared" si="20"/>
        <v>0.2942456536758376</v>
      </c>
      <c r="AO58" s="8">
        <f t="shared" si="21"/>
        <v>0.51165819746175822</v>
      </c>
      <c r="AP58" s="8">
        <f t="shared" si="22"/>
        <v>0.92912471642264671</v>
      </c>
      <c r="AQ58" s="8">
        <f t="shared" si="23"/>
        <v>2.9975937645367239</v>
      </c>
      <c r="AR58" s="8">
        <f t="shared" si="24"/>
        <v>48.822494366091398</v>
      </c>
      <c r="AS58" s="8">
        <f t="shared" si="25"/>
        <v>46.326381593274952</v>
      </c>
      <c r="AT58" s="8">
        <f t="shared" si="26"/>
        <v>0.11850170853666969</v>
      </c>
      <c r="AU58" s="14">
        <f t="shared" si="27"/>
        <v>99.999999999999986</v>
      </c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</row>
    <row r="59" spans="1:189" s="16" customFormat="1">
      <c r="A59" s="1" t="s">
        <v>91</v>
      </c>
      <c r="B59" s="12">
        <v>234.29</v>
      </c>
      <c r="C59" s="12">
        <v>2955.99</v>
      </c>
      <c r="D59" s="12">
        <v>-1380.1899999999998</v>
      </c>
      <c r="E59" s="12">
        <v>2981.8899999999994</v>
      </c>
      <c r="F59" s="13" t="s">
        <v>132</v>
      </c>
      <c r="G59" s="12" t="s">
        <v>295</v>
      </c>
      <c r="H59" s="2" t="s">
        <v>193</v>
      </c>
      <c r="I59" s="8">
        <v>15.215137574701194</v>
      </c>
      <c r="J59" s="8">
        <v>65.440016980688341</v>
      </c>
      <c r="K59" s="8">
        <v>135.07834951859229</v>
      </c>
      <c r="L59" s="8">
        <v>463.1757350459273</v>
      </c>
      <c r="M59" s="8">
        <v>1554.2779511813853</v>
      </c>
      <c r="N59" s="8">
        <v>1275.598020279991</v>
      </c>
      <c r="O59" s="8">
        <v>9.5226393626881354</v>
      </c>
      <c r="P59" s="8"/>
      <c r="Q59" s="8"/>
      <c r="R59" s="8">
        <f t="shared" si="4"/>
        <v>2829.8759714613761</v>
      </c>
      <c r="S59" s="8">
        <f t="shared" si="5"/>
        <v>2839.3986108240642</v>
      </c>
      <c r="T59" s="8">
        <f t="shared" si="6"/>
        <v>3302.5743458699917</v>
      </c>
      <c r="U59" s="8">
        <f t="shared" si="7"/>
        <v>3508.7852105812854</v>
      </c>
      <c r="V59" s="8">
        <f t="shared" si="8"/>
        <v>3518.3078499439735</v>
      </c>
      <c r="W59" s="8">
        <f t="shared" si="9"/>
        <v>3293.0517065073036</v>
      </c>
      <c r="X59" s="8">
        <f t="shared" si="10"/>
        <v>215.73350407398181</v>
      </c>
      <c r="Y59" s="8"/>
      <c r="Z59" s="11"/>
      <c r="AA59" s="8">
        <f t="shared" si="11"/>
        <v>1.2184700246243911</v>
      </c>
      <c r="AB59" s="14">
        <f t="shared" si="12"/>
        <v>15.264442677285826</v>
      </c>
      <c r="AC59" s="11"/>
      <c r="AD59" s="11"/>
      <c r="AE59" s="15">
        <f t="shared" si="13"/>
        <v>3.1306867437656774E-2</v>
      </c>
      <c r="AF59" s="15">
        <f t="shared" si="14"/>
        <v>0.13923407868231563</v>
      </c>
      <c r="AG59" s="15">
        <f t="shared" si="15"/>
        <v>0.19519992704998887</v>
      </c>
      <c r="AH59" s="15">
        <f t="shared" si="16"/>
        <v>3.2849342911058672</v>
      </c>
      <c r="AI59" s="15">
        <f t="shared" si="17"/>
        <v>1.5480856087463997</v>
      </c>
      <c r="AJ59" s="15">
        <f t="shared" si="18"/>
        <v>2.1693843882312773</v>
      </c>
      <c r="AK59" s="15">
        <f t="shared" si="19"/>
        <v>6.5223557278685854E-2</v>
      </c>
      <c r="AL59" s="11"/>
      <c r="AM59" s="11"/>
      <c r="AN59" s="8">
        <f t="shared" si="20"/>
        <v>0.43245611878288259</v>
      </c>
      <c r="AO59" s="8">
        <f t="shared" si="21"/>
        <v>1.8599855320145002</v>
      </c>
      <c r="AP59" s="8">
        <f t="shared" si="22"/>
        <v>3.8392987560978589</v>
      </c>
      <c r="AQ59" s="8">
        <f t="shared" si="23"/>
        <v>13.164730171445999</v>
      </c>
      <c r="AR59" s="8">
        <f t="shared" si="24"/>
        <v>44.176860509978859</v>
      </c>
      <c r="AS59" s="8">
        <f t="shared" si="25"/>
        <v>36.256009271624826</v>
      </c>
      <c r="AT59" s="8">
        <f t="shared" si="26"/>
        <v>0.27065964005508431</v>
      </c>
      <c r="AU59" s="14">
        <f t="shared" si="27"/>
        <v>100.00000000000001</v>
      </c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</row>
    <row r="60" spans="1:189" s="16" customFormat="1">
      <c r="A60" s="1" t="s">
        <v>119</v>
      </c>
      <c r="B60" s="12">
        <v>234.89</v>
      </c>
      <c r="C60" s="12">
        <v>2956.5899999999997</v>
      </c>
      <c r="D60" s="12">
        <v>-1380.7899999999997</v>
      </c>
      <c r="E60" s="12">
        <v>2982.4899999999993</v>
      </c>
      <c r="F60" s="13" t="s">
        <v>132</v>
      </c>
      <c r="G60" s="12" t="s">
        <v>294</v>
      </c>
      <c r="H60" s="2" t="s">
        <v>199</v>
      </c>
      <c r="I60" s="8">
        <v>3.997243056347064</v>
      </c>
      <c r="J60" s="8">
        <v>17.54213074085833</v>
      </c>
      <c r="K60" s="8">
        <v>21.5630825052319</v>
      </c>
      <c r="L60" s="8">
        <v>86.066279590558906</v>
      </c>
      <c r="M60" s="8">
        <v>991.60720481721717</v>
      </c>
      <c r="N60" s="8">
        <v>1166.8321266846956</v>
      </c>
      <c r="O60" s="8">
        <v>11.369264964048442</v>
      </c>
      <c r="P60" s="8"/>
      <c r="Q60" s="8"/>
      <c r="R60" s="8">
        <f t="shared" si="4"/>
        <v>2158.4393315019129</v>
      </c>
      <c r="S60" s="8">
        <f t="shared" si="5"/>
        <v>2169.8085964659613</v>
      </c>
      <c r="T60" s="8">
        <f t="shared" si="6"/>
        <v>2255.87487605652</v>
      </c>
      <c r="U60" s="8">
        <f t="shared" si="7"/>
        <v>2287.6080673949091</v>
      </c>
      <c r="V60" s="8">
        <f t="shared" si="8"/>
        <v>2298.9773323589575</v>
      </c>
      <c r="W60" s="8">
        <f t="shared" si="9"/>
        <v>2244.5056110924716</v>
      </c>
      <c r="X60" s="8">
        <f t="shared" si="10"/>
        <v>43.10245630243729</v>
      </c>
      <c r="Y60" s="8"/>
      <c r="Z60" s="11"/>
      <c r="AA60" s="8">
        <f t="shared" si="11"/>
        <v>0.8498285075803127</v>
      </c>
      <c r="AB60" s="14">
        <f t="shared" si="12"/>
        <v>52.073728590858821</v>
      </c>
      <c r="AC60" s="11"/>
      <c r="AD60" s="11"/>
      <c r="AE60" s="15">
        <f t="shared" si="13"/>
        <v>8.2247799513314075E-3</v>
      </c>
      <c r="AF60" s="15">
        <f t="shared" si="14"/>
        <v>3.7323682427358146E-2</v>
      </c>
      <c r="AG60" s="15">
        <f t="shared" si="15"/>
        <v>3.1160523851491186E-2</v>
      </c>
      <c r="AH60" s="15">
        <f t="shared" si="16"/>
        <v>0.6103991460323327</v>
      </c>
      <c r="AI60" s="15">
        <f t="shared" si="17"/>
        <v>0.98765657850320432</v>
      </c>
      <c r="AJ60" s="15">
        <f t="shared" si="18"/>
        <v>1.9844083787154687</v>
      </c>
      <c r="AK60" s="15">
        <f t="shared" si="19"/>
        <v>7.7871677835948228E-2</v>
      </c>
      <c r="AL60" s="11"/>
      <c r="AM60" s="11"/>
      <c r="AN60" s="8">
        <f t="shared" si="20"/>
        <v>0.17387048580620554</v>
      </c>
      <c r="AO60" s="8">
        <f t="shared" si="21"/>
        <v>0.76304061349132679</v>
      </c>
      <c r="AP60" s="8">
        <f t="shared" si="22"/>
        <v>0.93794237123278801</v>
      </c>
      <c r="AQ60" s="8">
        <f t="shared" si="23"/>
        <v>3.7436767374407807</v>
      </c>
      <c r="AR60" s="8">
        <f t="shared" si="24"/>
        <v>43.132535099845413</v>
      </c>
      <c r="AS60" s="8">
        <f t="shared" si="25"/>
        <v>50.754398934739427</v>
      </c>
      <c r="AT60" s="8">
        <f t="shared" si="26"/>
        <v>0.49453575744405254</v>
      </c>
      <c r="AU60" s="14">
        <f t="shared" si="27"/>
        <v>100</v>
      </c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</row>
    <row r="61" spans="1:189" s="16" customFormat="1">
      <c r="A61" s="1" t="s">
        <v>196</v>
      </c>
      <c r="B61" s="12">
        <v>235.255</v>
      </c>
      <c r="C61" s="12">
        <v>2956.9549999999999</v>
      </c>
      <c r="D61" s="12">
        <v>-1381.155</v>
      </c>
      <c r="E61" s="12">
        <v>2982.8549999999996</v>
      </c>
      <c r="F61" s="13" t="s">
        <v>132</v>
      </c>
      <c r="G61" s="12" t="s">
        <v>290</v>
      </c>
      <c r="H61" s="2" t="s">
        <v>193</v>
      </c>
      <c r="I61" s="8">
        <v>3.8098426208220415</v>
      </c>
      <c r="J61" s="8">
        <v>14.71452125207016</v>
      </c>
      <c r="K61" s="8">
        <v>23.311522954857846</v>
      </c>
      <c r="L61" s="8">
        <v>64.574486961990516</v>
      </c>
      <c r="M61" s="8">
        <v>1194.3325689075029</v>
      </c>
      <c r="N61" s="8">
        <v>1582.7369401027929</v>
      </c>
      <c r="O61" s="8">
        <v>13.668462291691284</v>
      </c>
      <c r="P61" s="8"/>
      <c r="Q61" s="8"/>
      <c r="R61" s="8">
        <f t="shared" si="4"/>
        <v>2777.0695090102959</v>
      </c>
      <c r="S61" s="8">
        <f t="shared" si="5"/>
        <v>2790.7379713019873</v>
      </c>
      <c r="T61" s="8">
        <f t="shared" si="6"/>
        <v>2855.312458263978</v>
      </c>
      <c r="U61" s="8">
        <f t="shared" si="7"/>
        <v>2883.4798828000366</v>
      </c>
      <c r="V61" s="8">
        <f t="shared" si="8"/>
        <v>2897.1483450917281</v>
      </c>
      <c r="W61" s="8">
        <f t="shared" si="9"/>
        <v>2841.6439959722866</v>
      </c>
      <c r="X61" s="8">
        <f t="shared" si="10"/>
        <v>41.835886827750045</v>
      </c>
      <c r="Y61" s="8"/>
      <c r="Z61" s="11"/>
      <c r="AA61" s="8">
        <f t="shared" si="11"/>
        <v>0.75459954124147466</v>
      </c>
      <c r="AB61" s="14">
        <f t="shared" si="12"/>
        <v>67.923598887054155</v>
      </c>
      <c r="AC61" s="11"/>
      <c r="AD61" s="11"/>
      <c r="AE61" s="15">
        <f t="shared" si="13"/>
        <v>7.8391823473704554E-3</v>
      </c>
      <c r="AF61" s="15">
        <f t="shared" si="14"/>
        <v>3.1307492025681193E-2</v>
      </c>
      <c r="AG61" s="15">
        <f t="shared" si="15"/>
        <v>3.3687171900083593E-2</v>
      </c>
      <c r="AH61" s="15">
        <f t="shared" si="16"/>
        <v>0.45797508483681215</v>
      </c>
      <c r="AI61" s="15">
        <f t="shared" si="17"/>
        <v>1.189574271820222</v>
      </c>
      <c r="AJ61" s="15">
        <f t="shared" si="18"/>
        <v>2.6917294899707365</v>
      </c>
      <c r="AK61" s="15">
        <f t="shared" si="19"/>
        <v>9.3619604737611536E-2</v>
      </c>
      <c r="AL61" s="11"/>
      <c r="AM61" s="11"/>
      <c r="AN61" s="8">
        <f t="shared" si="20"/>
        <v>0.13150319441793776</v>
      </c>
      <c r="AO61" s="8">
        <f t="shared" si="21"/>
        <v>0.50789671426384198</v>
      </c>
      <c r="AP61" s="8">
        <f t="shared" si="22"/>
        <v>0.80463684209859709</v>
      </c>
      <c r="AQ61" s="8">
        <f t="shared" si="23"/>
        <v>2.2288981878125398</v>
      </c>
      <c r="AR61" s="8">
        <f t="shared" si="24"/>
        <v>41.224418864533106</v>
      </c>
      <c r="AS61" s="8">
        <f t="shared" si="25"/>
        <v>54.63085598582564</v>
      </c>
      <c r="AT61" s="8">
        <f t="shared" si="26"/>
        <v>0.4717902110483238</v>
      </c>
      <c r="AU61" s="14">
        <f t="shared" si="27"/>
        <v>100</v>
      </c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</row>
    <row r="62" spans="1:189">
      <c r="A62" s="1" t="s">
        <v>14</v>
      </c>
      <c r="B62" s="12">
        <v>235.29</v>
      </c>
      <c r="C62" s="12">
        <v>2956.99</v>
      </c>
      <c r="D62" s="12">
        <v>-1381.1899999999998</v>
      </c>
      <c r="E62" s="12">
        <v>2982.8899999999994</v>
      </c>
      <c r="F62" s="13" t="s">
        <v>132</v>
      </c>
      <c r="G62" s="12" t="s">
        <v>223</v>
      </c>
      <c r="H62" s="2" t="s">
        <v>188</v>
      </c>
      <c r="I62" s="8">
        <v>0.24373020002863566</v>
      </c>
      <c r="J62" s="8">
        <v>2.727603928627957</v>
      </c>
      <c r="K62" s="8">
        <v>11.448706819865157</v>
      </c>
      <c r="L62" s="8">
        <v>13.986314497327859</v>
      </c>
      <c r="M62" s="8">
        <v>158.43259308938258</v>
      </c>
      <c r="N62" s="8">
        <v>285.72817856226675</v>
      </c>
      <c r="O62" s="8">
        <v>11.13787121096461</v>
      </c>
      <c r="P62" s="8"/>
      <c r="Q62" s="8"/>
      <c r="R62" s="8">
        <f t="shared" si="4"/>
        <v>444.16077165164933</v>
      </c>
      <c r="S62" s="8">
        <f t="shared" si="5"/>
        <v>455.29864286261392</v>
      </c>
      <c r="T62" s="8">
        <f t="shared" si="6"/>
        <v>469.28495735994181</v>
      </c>
      <c r="U62" s="8">
        <f t="shared" si="7"/>
        <v>472.56712709749894</v>
      </c>
      <c r="V62" s="8">
        <f t="shared" si="8"/>
        <v>483.70499830846353</v>
      </c>
      <c r="W62" s="8">
        <f t="shared" si="9"/>
        <v>458.14708614897717</v>
      </c>
      <c r="X62" s="8">
        <f t="shared" si="10"/>
        <v>14.420040948521748</v>
      </c>
      <c r="AA62" s="8">
        <f t="shared" si="11"/>
        <v>0.55448711389470628</v>
      </c>
      <c r="AB62" s="14">
        <f t="shared" si="12"/>
        <v>31.771552368299169</v>
      </c>
      <c r="AE62" s="15">
        <f t="shared" si="13"/>
        <v>5.0150246919472357E-4</v>
      </c>
      <c r="AF62" s="15">
        <f t="shared" si="14"/>
        <v>5.8034126141020357E-3</v>
      </c>
      <c r="AG62" s="15">
        <f t="shared" si="15"/>
        <v>1.6544374017146181E-2</v>
      </c>
      <c r="AH62" s="15">
        <f t="shared" si="16"/>
        <v>9.9193719839204678E-2</v>
      </c>
      <c r="AI62" s="15">
        <f t="shared" si="17"/>
        <v>0.15780138753922568</v>
      </c>
      <c r="AJ62" s="15">
        <f t="shared" si="18"/>
        <v>0.48593227646644005</v>
      </c>
      <c r="AK62" s="15">
        <f t="shared" si="19"/>
        <v>7.6286789116195963E-2</v>
      </c>
      <c r="AN62" s="8">
        <f t="shared" si="20"/>
        <v>5.0388191331693963E-2</v>
      </c>
      <c r="AO62" s="8">
        <f t="shared" si="21"/>
        <v>0.56389823098097003</v>
      </c>
      <c r="AP62" s="8">
        <f t="shared" si="22"/>
        <v>2.36687792350746</v>
      </c>
      <c r="AQ62" s="8">
        <f t="shared" si="23"/>
        <v>2.8914967896214807</v>
      </c>
      <c r="AR62" s="8">
        <f t="shared" si="24"/>
        <v>32.7539706315684</v>
      </c>
      <c r="AS62" s="8">
        <f t="shared" si="25"/>
        <v>59.070751710540534</v>
      </c>
      <c r="AT62" s="8">
        <f t="shared" si="26"/>
        <v>2.3026165224494699</v>
      </c>
      <c r="AU62" s="14">
        <f t="shared" si="27"/>
        <v>100.00000000000001</v>
      </c>
    </row>
    <row r="63" spans="1:189">
      <c r="A63" s="1" t="s">
        <v>13</v>
      </c>
      <c r="B63" s="12">
        <v>235.33</v>
      </c>
      <c r="C63" s="12">
        <v>2957.0299999999997</v>
      </c>
      <c r="D63" s="12">
        <v>-1381.2299999999998</v>
      </c>
      <c r="E63" s="12">
        <v>2982.9299999999994</v>
      </c>
      <c r="F63" s="13" t="s">
        <v>132</v>
      </c>
      <c r="G63" s="12" t="s">
        <v>294</v>
      </c>
      <c r="H63" s="2" t="s">
        <v>188</v>
      </c>
      <c r="I63" s="8">
        <v>0.94383579725050593</v>
      </c>
      <c r="J63" s="8">
        <v>1.3607981780824412</v>
      </c>
      <c r="K63" s="8">
        <v>3.3905386364178036</v>
      </c>
      <c r="L63" s="8">
        <v>8.3721898312141647</v>
      </c>
      <c r="M63" s="8">
        <v>113.8726734344407</v>
      </c>
      <c r="N63" s="8">
        <v>203.31285124600734</v>
      </c>
      <c r="O63" s="8">
        <v>2.927552713989523</v>
      </c>
      <c r="P63" s="8"/>
      <c r="Q63" s="8"/>
      <c r="R63" s="8">
        <f t="shared" si="4"/>
        <v>317.18552468044805</v>
      </c>
      <c r="S63" s="8">
        <f t="shared" si="5"/>
        <v>320.11307739443754</v>
      </c>
      <c r="T63" s="8">
        <f t="shared" si="6"/>
        <v>328.48526722565174</v>
      </c>
      <c r="U63" s="8">
        <f t="shared" si="7"/>
        <v>331.25288712341296</v>
      </c>
      <c r="V63" s="8">
        <f t="shared" si="8"/>
        <v>334.1804398374025</v>
      </c>
      <c r="W63" s="8">
        <f t="shared" si="9"/>
        <v>325.5577145116622</v>
      </c>
      <c r="X63" s="8">
        <f t="shared" si="10"/>
        <v>5.6951726117507508</v>
      </c>
      <c r="AA63" s="8">
        <f t="shared" si="11"/>
        <v>0.5600859598228517</v>
      </c>
      <c r="AB63" s="14">
        <f t="shared" si="12"/>
        <v>57.163801118151291</v>
      </c>
      <c r="AE63" s="15">
        <f t="shared" si="13"/>
        <v>1.9420489655360203E-3</v>
      </c>
      <c r="AF63" s="15">
        <f t="shared" si="14"/>
        <v>2.8953152725158323E-3</v>
      </c>
      <c r="AG63" s="15">
        <f t="shared" si="15"/>
        <v>4.8996223069621442E-3</v>
      </c>
      <c r="AH63" s="15">
        <f t="shared" si="16"/>
        <v>5.9377232845490527E-2</v>
      </c>
      <c r="AI63" s="15">
        <f t="shared" si="17"/>
        <v>0.11341899744466205</v>
      </c>
      <c r="AJ63" s="15">
        <f t="shared" si="18"/>
        <v>0.34577015518028459</v>
      </c>
      <c r="AK63" s="15">
        <f t="shared" si="19"/>
        <v>2.005173091773646E-2</v>
      </c>
      <c r="AN63" s="8">
        <f t="shared" si="20"/>
        <v>0.28243298671512163</v>
      </c>
      <c r="AO63" s="8">
        <f t="shared" si="21"/>
        <v>0.40720461638764543</v>
      </c>
      <c r="AP63" s="8">
        <f t="shared" si="22"/>
        <v>1.0145832108149389</v>
      </c>
      <c r="AQ63" s="8">
        <f t="shared" si="23"/>
        <v>2.5052902064787825</v>
      </c>
      <c r="AR63" s="8">
        <f t="shared" si="24"/>
        <v>34.075206044329263</v>
      </c>
      <c r="AS63" s="8">
        <f t="shared" si="25"/>
        <v>60.839243417397626</v>
      </c>
      <c r="AT63" s="8">
        <f t="shared" si="26"/>
        <v>0.87603951787661216</v>
      </c>
      <c r="AU63" s="14">
        <f t="shared" si="27"/>
        <v>99.999999999999986</v>
      </c>
    </row>
    <row r="64" spans="1:189">
      <c r="A64" s="1" t="s">
        <v>120</v>
      </c>
      <c r="B64" s="12">
        <v>238.1</v>
      </c>
      <c r="C64" s="12">
        <v>2959.7999999999997</v>
      </c>
      <c r="D64" s="12">
        <v>-1383.9999999999998</v>
      </c>
      <c r="E64" s="12">
        <v>2985.6999999999994</v>
      </c>
      <c r="F64" s="13" t="s">
        <v>132</v>
      </c>
      <c r="G64" s="12" t="s">
        <v>291</v>
      </c>
      <c r="H64" s="2" t="s">
        <v>199</v>
      </c>
      <c r="I64" s="8">
        <v>3.8348073586090999E-2</v>
      </c>
      <c r="J64" s="8">
        <v>8.4151743092449202E-2</v>
      </c>
      <c r="K64" s="8">
        <v>0.67891740518210963</v>
      </c>
      <c r="L64" s="8">
        <v>1.5863853865579274</v>
      </c>
      <c r="M64" s="8">
        <v>5.685619497890344</v>
      </c>
      <c r="N64" s="8">
        <v>42.67543141328634</v>
      </c>
      <c r="O64" s="8">
        <v>0.93859573415702702</v>
      </c>
      <c r="P64" s="8"/>
      <c r="Q64" s="8"/>
      <c r="R64" s="8">
        <f t="shared" si="4"/>
        <v>48.361050911176683</v>
      </c>
      <c r="S64" s="8">
        <f t="shared" si="5"/>
        <v>49.299646645333709</v>
      </c>
      <c r="T64" s="8">
        <f t="shared" si="6"/>
        <v>50.886032031891638</v>
      </c>
      <c r="U64" s="8">
        <f t="shared" si="7"/>
        <v>50.748853519595258</v>
      </c>
      <c r="V64" s="8">
        <f t="shared" si="8"/>
        <v>51.687449253752284</v>
      </c>
      <c r="W64" s="8">
        <f t="shared" si="9"/>
        <v>49.947436297734612</v>
      </c>
      <c r="X64" s="8">
        <f t="shared" si="10"/>
        <v>0.8014172218606499</v>
      </c>
      <c r="AA64" s="8">
        <f t="shared" si="11"/>
        <v>0.13322933851162461</v>
      </c>
      <c r="AB64" s="14">
        <f t="shared" si="12"/>
        <v>62.32388690346793</v>
      </c>
      <c r="AE64" s="15">
        <f t="shared" si="13"/>
        <v>7.8905501205948561E-5</v>
      </c>
      <c r="AF64" s="15">
        <f t="shared" si="14"/>
        <v>1.790462618988281E-4</v>
      </c>
      <c r="AG64" s="15">
        <f t="shared" si="15"/>
        <v>9.810945161591179E-4</v>
      </c>
      <c r="AH64" s="15">
        <f t="shared" si="16"/>
        <v>1.1250960188354095E-2</v>
      </c>
      <c r="AI64" s="15">
        <f t="shared" si="17"/>
        <v>5.6629676273808206E-3</v>
      </c>
      <c r="AJ64" s="15">
        <f t="shared" si="18"/>
        <v>7.2577264308310102E-2</v>
      </c>
      <c r="AK64" s="15">
        <f t="shared" si="19"/>
        <v>6.4287379051851164E-3</v>
      </c>
      <c r="AN64" s="8">
        <f t="shared" si="20"/>
        <v>7.4192234555484654E-2</v>
      </c>
      <c r="AO64" s="8">
        <f t="shared" si="21"/>
        <v>0.16280885264683506</v>
      </c>
      <c r="AP64" s="8">
        <f t="shared" si="22"/>
        <v>1.3135053383057458</v>
      </c>
      <c r="AQ64" s="8">
        <f t="shared" si="23"/>
        <v>3.0691887672184994</v>
      </c>
      <c r="AR64" s="8">
        <f t="shared" si="24"/>
        <v>11.000000154733101</v>
      </c>
      <c r="AS64" s="8">
        <f t="shared" si="25"/>
        <v>82.564398184513408</v>
      </c>
      <c r="AT64" s="8">
        <f t="shared" si="26"/>
        <v>1.8159064680269341</v>
      </c>
      <c r="AU64" s="14">
        <f t="shared" si="27"/>
        <v>100.00000000000001</v>
      </c>
    </row>
    <row r="65" spans="1:189">
      <c r="A65" s="1" t="s">
        <v>105</v>
      </c>
      <c r="B65" s="12">
        <v>240.6</v>
      </c>
      <c r="C65" s="12">
        <v>2962.27</v>
      </c>
      <c r="D65" s="12">
        <v>-1386.47</v>
      </c>
      <c r="E65" s="12">
        <v>2988.1699999999996</v>
      </c>
      <c r="F65" s="13" t="s">
        <v>132</v>
      </c>
      <c r="G65" s="12" t="s">
        <v>291</v>
      </c>
      <c r="H65" s="2" t="s">
        <v>192</v>
      </c>
      <c r="I65" s="8">
        <v>9.3582561666209998E-2</v>
      </c>
      <c r="J65" s="8">
        <v>0.14095056046384799</v>
      </c>
      <c r="K65" s="8">
        <v>1.1544816462783951</v>
      </c>
      <c r="L65" s="8">
        <v>0.5189471010404948</v>
      </c>
      <c r="M65" s="8">
        <v>1.7563635593175013</v>
      </c>
      <c r="N65" s="8">
        <v>38.43369601242307</v>
      </c>
      <c r="O65" s="8">
        <v>0.48796791315194937</v>
      </c>
      <c r="P65" s="8"/>
      <c r="Q65" s="8"/>
      <c r="R65" s="8">
        <f t="shared" si="4"/>
        <v>40.190059571740569</v>
      </c>
      <c r="S65" s="8">
        <f t="shared" si="5"/>
        <v>40.678027484892517</v>
      </c>
      <c r="T65" s="8">
        <f t="shared" si="6"/>
        <v>41.196974585933013</v>
      </c>
      <c r="U65" s="8">
        <f t="shared" si="7"/>
        <v>42.098021441189516</v>
      </c>
      <c r="V65" s="8">
        <f t="shared" si="8"/>
        <v>42.585989354341464</v>
      </c>
      <c r="W65" s="8">
        <f t="shared" si="9"/>
        <v>40.709006672781065</v>
      </c>
      <c r="X65" s="8">
        <f t="shared" si="10"/>
        <v>1.3890147684084531</v>
      </c>
      <c r="AA65" s="8">
        <f t="shared" si="11"/>
        <v>4.5698533878963533E-2</v>
      </c>
      <c r="AB65" s="14">
        <f t="shared" si="12"/>
        <v>29.307828540531538</v>
      </c>
      <c r="AE65" s="15">
        <f t="shared" si="13"/>
        <v>1.9255671124734566E-4</v>
      </c>
      <c r="AF65" s="15">
        <f t="shared" si="14"/>
        <v>2.9989480949754889E-4</v>
      </c>
      <c r="AG65" s="15">
        <f t="shared" si="15"/>
        <v>1.6683260784369871E-3</v>
      </c>
      <c r="AH65" s="15">
        <f t="shared" si="16"/>
        <v>3.6804758939042183E-3</v>
      </c>
      <c r="AI65" s="15">
        <f t="shared" si="17"/>
        <v>1.7493660949377504E-3</v>
      </c>
      <c r="AJ65" s="15">
        <f t="shared" si="18"/>
        <v>6.5363428592556241E-2</v>
      </c>
      <c r="AK65" s="15">
        <f t="shared" si="19"/>
        <v>3.3422459804928039E-3</v>
      </c>
      <c r="AN65" s="8">
        <f t="shared" si="20"/>
        <v>0.21974964791247628</v>
      </c>
      <c r="AO65" s="8">
        <f t="shared" si="21"/>
        <v>0.33097871530247464</v>
      </c>
      <c r="AP65" s="8">
        <f t="shared" si="22"/>
        <v>2.7109424103603703</v>
      </c>
      <c r="AQ65" s="8">
        <f t="shared" si="23"/>
        <v>1.2185864621402538</v>
      </c>
      <c r="AR65" s="8">
        <f t="shared" si="24"/>
        <v>4.1242755797064685</v>
      </c>
      <c r="AS65" s="8">
        <f t="shared" si="25"/>
        <v>90.249625745761648</v>
      </c>
      <c r="AT65" s="8">
        <f t="shared" si="26"/>
        <v>1.1458414388163161</v>
      </c>
      <c r="AU65" s="14">
        <f t="shared" si="27"/>
        <v>100.00000000000001</v>
      </c>
    </row>
    <row r="66" spans="1:189">
      <c r="A66" s="1" t="s">
        <v>121</v>
      </c>
      <c r="B66" s="12">
        <v>243.9</v>
      </c>
      <c r="C66" s="12">
        <v>2965.6</v>
      </c>
      <c r="D66" s="12">
        <v>-1389.8</v>
      </c>
      <c r="E66" s="12">
        <v>2991.4999999999995</v>
      </c>
      <c r="F66" s="13" t="s">
        <v>132</v>
      </c>
      <c r="G66" s="12" t="s">
        <v>291</v>
      </c>
      <c r="H66" s="2" t="s">
        <v>199</v>
      </c>
      <c r="I66" s="8">
        <v>3.6838995388031502E-2</v>
      </c>
      <c r="J66" s="8">
        <v>4.1561733905338023E-2</v>
      </c>
      <c r="K66" s="8">
        <v>0.51444693138130904</v>
      </c>
      <c r="L66" s="8">
        <v>1.2634890433149648</v>
      </c>
      <c r="M66" s="8">
        <v>10.051870853390987</v>
      </c>
      <c r="N66" s="8">
        <v>59.112851793341534</v>
      </c>
      <c r="O66" s="8">
        <v>2.0881981580511</v>
      </c>
      <c r="P66" s="8"/>
      <c r="Q66" s="8"/>
      <c r="R66" s="8">
        <f t="shared" si="4"/>
        <v>69.164722646732514</v>
      </c>
      <c r="S66" s="8">
        <f t="shared" si="5"/>
        <v>71.252920804783628</v>
      </c>
      <c r="T66" s="8">
        <f t="shared" si="6"/>
        <v>72.51640984809859</v>
      </c>
      <c r="U66" s="8">
        <f t="shared" si="7"/>
        <v>71.021059350722169</v>
      </c>
      <c r="V66" s="8">
        <f t="shared" si="8"/>
        <v>73.109257508773268</v>
      </c>
      <c r="W66" s="8">
        <f t="shared" si="9"/>
        <v>70.428211690047476</v>
      </c>
      <c r="X66" s="8">
        <f t="shared" si="10"/>
        <v>0.59284766067467853</v>
      </c>
      <c r="AA66" s="8">
        <f t="shared" si="11"/>
        <v>0.17004543933241992</v>
      </c>
      <c r="AB66" s="14">
        <f t="shared" si="12"/>
        <v>118.79647397089843</v>
      </c>
      <c r="AE66" s="15">
        <f t="shared" si="13"/>
        <v>7.5800402032986626E-5</v>
      </c>
      <c r="AF66" s="15">
        <f t="shared" si="14"/>
        <v>8.842922107518728E-5</v>
      </c>
      <c r="AG66" s="15">
        <f t="shared" si="15"/>
        <v>7.4342042107125583E-4</v>
      </c>
      <c r="AH66" s="15">
        <f t="shared" si="16"/>
        <v>8.9609152008153538E-3</v>
      </c>
      <c r="AI66" s="15">
        <f t="shared" si="17"/>
        <v>1.001182355915437E-2</v>
      </c>
      <c r="AJ66" s="15">
        <f t="shared" si="18"/>
        <v>0.10053206087302982</v>
      </c>
      <c r="AK66" s="15">
        <f t="shared" si="19"/>
        <v>1.4302727109939042E-2</v>
      </c>
      <c r="AN66" s="8">
        <f t="shared" si="20"/>
        <v>5.0388961184034381E-2</v>
      </c>
      <c r="AO66" s="8">
        <f t="shared" si="21"/>
        <v>5.6848797705749549E-2</v>
      </c>
      <c r="AP66" s="8">
        <f t="shared" si="22"/>
        <v>0.70366865826748992</v>
      </c>
      <c r="AQ66" s="8">
        <f t="shared" si="23"/>
        <v>1.7282203189703349</v>
      </c>
      <c r="AR66" s="8">
        <f t="shared" si="24"/>
        <v>13.749108110125098</v>
      </c>
      <c r="AS66" s="8">
        <f t="shared" si="25"/>
        <v>80.85549464956317</v>
      </c>
      <c r="AT66" s="8">
        <f t="shared" si="26"/>
        <v>2.8562705041841134</v>
      </c>
      <c r="AU66" s="14">
        <f t="shared" si="27"/>
        <v>99.999999999999986</v>
      </c>
    </row>
    <row r="67" spans="1:189">
      <c r="A67" s="1" t="s">
        <v>16</v>
      </c>
      <c r="B67" s="12">
        <v>246.6</v>
      </c>
      <c r="C67" s="12">
        <v>2968.2999999999997</v>
      </c>
      <c r="D67" s="12">
        <v>-1392.4999999999998</v>
      </c>
      <c r="E67" s="12">
        <v>2994.1999999999994</v>
      </c>
      <c r="F67" s="13" t="s">
        <v>132</v>
      </c>
      <c r="G67" s="12" t="s">
        <v>294</v>
      </c>
      <c r="H67" s="2" t="s">
        <v>188</v>
      </c>
      <c r="I67" s="8">
        <v>0.17537249117925072</v>
      </c>
      <c r="J67" s="8">
        <v>0.20309037288265072</v>
      </c>
      <c r="K67" s="8">
        <v>0.41959348381663053</v>
      </c>
      <c r="L67" s="8">
        <v>0.37604678771960881</v>
      </c>
      <c r="M67" s="8">
        <v>4.0569565231279263</v>
      </c>
      <c r="N67" s="8">
        <v>14.99371267420328</v>
      </c>
      <c r="O67" s="8">
        <v>1.6293436683999869</v>
      </c>
      <c r="P67" s="8"/>
      <c r="Q67" s="8"/>
      <c r="R67" s="8">
        <f t="shared" si="4"/>
        <v>19.050669197331207</v>
      </c>
      <c r="S67" s="8">
        <f t="shared" si="5"/>
        <v>20.680012865731193</v>
      </c>
      <c r="T67" s="8">
        <f t="shared" si="6"/>
        <v>21.056059653450802</v>
      </c>
      <c r="U67" s="8">
        <f t="shared" si="7"/>
        <v>20.224772332929348</v>
      </c>
      <c r="V67" s="8">
        <f t="shared" si="8"/>
        <v>21.854116001329334</v>
      </c>
      <c r="W67" s="8">
        <f t="shared" si="9"/>
        <v>19.426715985050816</v>
      </c>
      <c r="X67" s="8">
        <f t="shared" si="10"/>
        <v>0.79805634787853197</v>
      </c>
      <c r="AA67" s="8">
        <f t="shared" si="11"/>
        <v>0.2705771820016219</v>
      </c>
      <c r="AB67" s="14">
        <f t="shared" si="12"/>
        <v>24.34253676033369</v>
      </c>
      <c r="AE67" s="15">
        <f t="shared" si="13"/>
        <v>3.608487472824089E-4</v>
      </c>
      <c r="AF67" s="15">
        <f t="shared" si="14"/>
        <v>4.3210717634606534E-4</v>
      </c>
      <c r="AG67" s="15">
        <f t="shared" si="15"/>
        <v>6.0634896505293431E-4</v>
      </c>
      <c r="AH67" s="15">
        <f t="shared" si="16"/>
        <v>2.6669984944653106E-3</v>
      </c>
      <c r="AI67" s="15">
        <f t="shared" si="17"/>
        <v>4.0407933497290105E-3</v>
      </c>
      <c r="AJ67" s="15">
        <f t="shared" si="18"/>
        <v>2.5499511350685851E-2</v>
      </c>
      <c r="AK67" s="15">
        <f t="shared" si="19"/>
        <v>1.1159888139725937E-2</v>
      </c>
      <c r="AN67" s="8">
        <f t="shared" si="20"/>
        <v>0.80246893156686472</v>
      </c>
      <c r="AO67" s="8">
        <f t="shared" si="21"/>
        <v>0.92930033349460206</v>
      </c>
      <c r="AP67" s="8">
        <f t="shared" si="22"/>
        <v>1.9199746344858226</v>
      </c>
      <c r="AQ67" s="8">
        <f t="shared" si="23"/>
        <v>1.7207137900097849</v>
      </c>
      <c r="AR67" s="8">
        <f t="shared" si="24"/>
        <v>18.563809777897909</v>
      </c>
      <c r="AS67" s="8">
        <f t="shared" si="25"/>
        <v>68.608186546146484</v>
      </c>
      <c r="AT67" s="8">
        <f t="shared" si="26"/>
        <v>7.4555459863985245</v>
      </c>
      <c r="AU67" s="14">
        <f t="shared" si="27"/>
        <v>99.999999999999986</v>
      </c>
    </row>
    <row r="68" spans="1:189" s="19" customFormat="1">
      <c r="A68" s="1" t="s">
        <v>15</v>
      </c>
      <c r="B68" s="12">
        <v>246.81</v>
      </c>
      <c r="C68" s="12">
        <v>2968.5099999999998</v>
      </c>
      <c r="D68" s="12">
        <v>-1392.7099999999998</v>
      </c>
      <c r="E68" s="12">
        <v>2994.4099999999994</v>
      </c>
      <c r="F68" s="12" t="s">
        <v>132</v>
      </c>
      <c r="G68" s="12" t="s">
        <v>290</v>
      </c>
      <c r="H68" s="2" t="s">
        <v>188</v>
      </c>
      <c r="I68" s="8">
        <v>0.1651898939248419</v>
      </c>
      <c r="J68" s="8">
        <v>0.21077403798339817</v>
      </c>
      <c r="K68" s="8">
        <v>1.171883073178509</v>
      </c>
      <c r="L68" s="8">
        <v>1.8937704276847001</v>
      </c>
      <c r="M68" s="8">
        <v>69.129120606209497</v>
      </c>
      <c r="N68" s="8">
        <v>37.110520442933016</v>
      </c>
      <c r="O68" s="8">
        <v>3.5241741300508171</v>
      </c>
      <c r="P68" s="8"/>
      <c r="Q68" s="8"/>
      <c r="R68" s="8">
        <f t="shared" ref="R68:R72" si="28">M68+N68</f>
        <v>106.23964104914251</v>
      </c>
      <c r="S68" s="8">
        <f t="shared" ref="S68:S72" si="29">O68+N68+M68</f>
        <v>109.76381517919333</v>
      </c>
      <c r="T68" s="8">
        <f t="shared" ref="T68:T72" si="30">L68+M68+N68+O68</f>
        <v>111.65758560687803</v>
      </c>
      <c r="U68" s="8">
        <f t="shared" ref="U68:U72" si="31">I68+J68+K68+L68+M68+N68</f>
        <v>109.68125848191397</v>
      </c>
      <c r="V68" s="8">
        <f t="shared" ref="V68:V72" si="32">I68+J68+K68+L68+M68+N68+O68</f>
        <v>113.2054326119648</v>
      </c>
      <c r="W68" s="8">
        <f t="shared" ref="W68:W72" si="33">M68+N68+L68</f>
        <v>108.13341147682721</v>
      </c>
      <c r="X68" s="8">
        <f t="shared" ref="X68:X72" si="34">I68+J68+K68</f>
        <v>1.5478470050867492</v>
      </c>
      <c r="Y68" s="8"/>
      <c r="Z68" s="11"/>
      <c r="AA68" s="8">
        <f t="shared" ref="AA68:AA72" si="35">M68/N68</f>
        <v>1.8627903834577941</v>
      </c>
      <c r="AB68" s="14">
        <f t="shared" ref="AB68:AB72" si="36">W68/X68</f>
        <v>69.860529575251434</v>
      </c>
      <c r="AC68" s="11"/>
      <c r="AD68" s="11"/>
      <c r="AE68" s="15">
        <f t="shared" ref="AE68:AE72" si="37">I68/486</f>
        <v>3.3989690107992163E-4</v>
      </c>
      <c r="AF68" s="15">
        <f t="shared" ref="AF68:AF72" si="38">J68/470</f>
        <v>4.4845539996467694E-4</v>
      </c>
      <c r="AG68" s="15">
        <f t="shared" ref="AG68:AG72" si="39">K68/692</f>
        <v>1.6934726491018917E-3</v>
      </c>
      <c r="AH68" s="15">
        <f t="shared" ref="AH68:AH72" si="40">L68/141</f>
        <v>1.3430995941026241E-2</v>
      </c>
      <c r="AI68" s="15">
        <f t="shared" ref="AI68:AI72" si="41">M68/1004</f>
        <v>6.8853705783077188E-2</v>
      </c>
      <c r="AJ68" s="15">
        <f t="shared" ref="AJ68:AJ72" si="42">N68/588</f>
        <v>6.3113130004988124E-2</v>
      </c>
      <c r="AK68" s="15">
        <f t="shared" ref="AK68:AK72" si="43">O68/146</f>
        <v>2.4138178972950803E-2</v>
      </c>
      <c r="AL68" s="11"/>
      <c r="AM68" s="11"/>
      <c r="AN68" s="8">
        <f t="shared" ref="AN68:AN72" si="44">100*I68/V68</f>
        <v>0.1459204652227819</v>
      </c>
      <c r="AO68" s="8">
        <f t="shared" ref="AO68:AO72" si="45">100*J68/V68</f>
        <v>0.18618721126738685</v>
      </c>
      <c r="AP68" s="8">
        <f t="shared" ref="AP68:AP72" si="46">100*K68/V68</f>
        <v>1.0351827170656926</v>
      </c>
      <c r="AQ68" s="8">
        <f t="shared" ref="AQ68:AQ72" si="47">100*L68/V68</f>
        <v>1.6728617911615538</v>
      </c>
      <c r="AR68" s="8">
        <f t="shared" ref="AR68:AR72" si="48">100*M68/V68</f>
        <v>61.065197147529098</v>
      </c>
      <c r="AS68" s="8">
        <f t="shared" ref="AS68:AS72" si="49">100*N68/V68</f>
        <v>32.781572038275812</v>
      </c>
      <c r="AT68" s="8">
        <f t="shared" ref="AT68:AT72" si="50">100*O68/V68</f>
        <v>3.1130786294776667</v>
      </c>
      <c r="AU68" s="14">
        <f t="shared" ref="AU68:AU72" si="51">AN68+AO68+AP68+AQ68+AR68+AS68+AT68</f>
        <v>100</v>
      </c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</row>
    <row r="69" spans="1:189" s="19" customFormat="1">
      <c r="A69" s="1" t="s">
        <v>92</v>
      </c>
      <c r="B69" s="12">
        <v>247.52</v>
      </c>
      <c r="C69" s="12">
        <v>2969.22</v>
      </c>
      <c r="D69" s="12">
        <v>-1393.4199999999998</v>
      </c>
      <c r="E69" s="12">
        <v>2995.1199999999994</v>
      </c>
      <c r="F69" s="12" t="s">
        <v>133</v>
      </c>
      <c r="G69" s="12" t="s">
        <v>30</v>
      </c>
      <c r="H69" s="2" t="s">
        <v>193</v>
      </c>
      <c r="I69" s="8">
        <v>0.12947720864661652</v>
      </c>
      <c r="J69" s="8">
        <v>0.22077831296992478</v>
      </c>
      <c r="K69" s="8">
        <v>0.808578477443609</v>
      </c>
      <c r="L69" s="8">
        <v>1.6219169016290726</v>
      </c>
      <c r="M69" s="8">
        <v>22.71347391917293</v>
      </c>
      <c r="N69" s="8">
        <v>39.977654291979945</v>
      </c>
      <c r="O69" s="8">
        <v>5.3525970590538838</v>
      </c>
      <c r="P69" s="8"/>
      <c r="Q69" s="8"/>
      <c r="R69" s="8">
        <f t="shared" si="28"/>
        <v>62.691128211152872</v>
      </c>
      <c r="S69" s="8">
        <f t="shared" si="29"/>
        <v>68.043725270206764</v>
      </c>
      <c r="T69" s="8">
        <f t="shared" si="30"/>
        <v>69.665642171835827</v>
      </c>
      <c r="U69" s="8">
        <f t="shared" si="31"/>
        <v>65.4718791118421</v>
      </c>
      <c r="V69" s="8">
        <f t="shared" si="32"/>
        <v>70.824476170895977</v>
      </c>
      <c r="W69" s="8">
        <f t="shared" si="33"/>
        <v>64.31304511278195</v>
      </c>
      <c r="X69" s="8">
        <f t="shared" si="34"/>
        <v>1.1588339990601502</v>
      </c>
      <c r="Y69" s="8"/>
      <c r="Z69" s="11"/>
      <c r="AA69" s="8">
        <f t="shared" si="35"/>
        <v>0.56815424320004582</v>
      </c>
      <c r="AB69" s="14">
        <f t="shared" si="36"/>
        <v>55.49806543900317</v>
      </c>
      <c r="AC69" s="11"/>
      <c r="AD69" s="11"/>
      <c r="AE69" s="15">
        <f t="shared" si="37"/>
        <v>2.6641400956093936E-4</v>
      </c>
      <c r="AF69" s="15">
        <f t="shared" si="38"/>
        <v>4.6974109142537186E-4</v>
      </c>
      <c r="AG69" s="15">
        <f t="shared" si="39"/>
        <v>1.1684660078664869E-3</v>
      </c>
      <c r="AH69" s="15">
        <f t="shared" si="40"/>
        <v>1.1502956749142359E-2</v>
      </c>
      <c r="AI69" s="15">
        <f t="shared" si="41"/>
        <v>2.2622981991208099E-2</v>
      </c>
      <c r="AJ69" s="15">
        <f t="shared" si="42"/>
        <v>6.7989207979557736E-2</v>
      </c>
      <c r="AK69" s="15">
        <f t="shared" si="43"/>
        <v>3.666162369214989E-2</v>
      </c>
      <c r="AL69" s="11"/>
      <c r="AM69" s="11"/>
      <c r="AN69" s="8">
        <f t="shared" si="44"/>
        <v>0.18281421289187427</v>
      </c>
      <c r="AO69" s="8">
        <f t="shared" si="45"/>
        <v>0.31172600901021502</v>
      </c>
      <c r="AP69" s="8">
        <f t="shared" si="46"/>
        <v>1.1416653128397998</v>
      </c>
      <c r="AQ69" s="8">
        <f t="shared" si="47"/>
        <v>2.2900513908715214</v>
      </c>
      <c r="AR69" s="8">
        <f t="shared" si="48"/>
        <v>32.070090944783601</v>
      </c>
      <c r="AS69" s="8">
        <f t="shared" si="49"/>
        <v>56.446099503109394</v>
      </c>
      <c r="AT69" s="8">
        <f t="shared" si="50"/>
        <v>7.5575526264936013</v>
      </c>
      <c r="AU69" s="14">
        <f t="shared" si="51"/>
        <v>100.00000000000001</v>
      </c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</row>
    <row r="70" spans="1:189" s="19" customFormat="1">
      <c r="A70" s="1" t="s">
        <v>93</v>
      </c>
      <c r="B70" s="12">
        <v>257.44</v>
      </c>
      <c r="C70" s="12">
        <v>2979.1899999999996</v>
      </c>
      <c r="D70" s="12">
        <v>-1403.3899999999996</v>
      </c>
      <c r="E70" s="12">
        <v>3005.0899999999992</v>
      </c>
      <c r="F70" s="12" t="s">
        <v>133</v>
      </c>
      <c r="G70" s="12" t="s">
        <v>290</v>
      </c>
      <c r="H70" s="2" t="s">
        <v>193</v>
      </c>
      <c r="I70" s="8">
        <v>7.2121746500436998E-2</v>
      </c>
      <c r="J70" s="8">
        <v>0.100377165810002</v>
      </c>
      <c r="K70" s="8">
        <v>0.3170962630624421</v>
      </c>
      <c r="L70" s="8">
        <v>0.1902562975106174</v>
      </c>
      <c r="M70" s="8">
        <v>1.3014594487244397</v>
      </c>
      <c r="N70" s="8">
        <v>1.5896664105462079</v>
      </c>
      <c r="O70" s="8">
        <v>4.8909202291839335</v>
      </c>
      <c r="P70" s="8"/>
      <c r="Q70" s="8"/>
      <c r="R70" s="8">
        <f t="shared" si="28"/>
        <v>2.8911258592706477</v>
      </c>
      <c r="S70" s="8">
        <f t="shared" si="29"/>
        <v>7.7820460884545817</v>
      </c>
      <c r="T70" s="8">
        <f t="shared" si="30"/>
        <v>7.9723023859651985</v>
      </c>
      <c r="U70" s="8">
        <f t="shared" si="31"/>
        <v>3.570977332154146</v>
      </c>
      <c r="V70" s="8">
        <f t="shared" si="32"/>
        <v>8.4618975613380805</v>
      </c>
      <c r="W70" s="8">
        <f t="shared" si="33"/>
        <v>3.0813821567812649</v>
      </c>
      <c r="X70" s="8">
        <f t="shared" si="34"/>
        <v>0.48959517537288111</v>
      </c>
      <c r="Y70" s="8"/>
      <c r="Z70" s="11"/>
      <c r="AA70" s="8">
        <f t="shared" si="35"/>
        <v>0.81869972221232223</v>
      </c>
      <c r="AB70" s="14">
        <f t="shared" si="36"/>
        <v>6.2937347257036391</v>
      </c>
      <c r="AC70" s="11"/>
      <c r="AD70" s="11"/>
      <c r="AE70" s="15">
        <f t="shared" si="37"/>
        <v>1.4839865535069342E-4</v>
      </c>
      <c r="AF70" s="15">
        <f t="shared" si="38"/>
        <v>2.1356843789362126E-4</v>
      </c>
      <c r="AG70" s="15">
        <f t="shared" si="39"/>
        <v>4.5823159402087006E-4</v>
      </c>
      <c r="AH70" s="15">
        <f t="shared" si="40"/>
        <v>1.3493354433377121E-3</v>
      </c>
      <c r="AI70" s="15">
        <f t="shared" si="41"/>
        <v>1.296274351319163E-3</v>
      </c>
      <c r="AJ70" s="15">
        <f t="shared" si="42"/>
        <v>2.7035143036500133E-3</v>
      </c>
      <c r="AK70" s="15">
        <f t="shared" si="43"/>
        <v>3.3499453624547489E-2</v>
      </c>
      <c r="AL70" s="11"/>
      <c r="AM70" s="11"/>
      <c r="AN70" s="8">
        <f t="shared" si="44"/>
        <v>0.85231174187167047</v>
      </c>
      <c r="AO70" s="8">
        <f t="shared" si="45"/>
        <v>1.1862252536431008</v>
      </c>
      <c r="AP70" s="8">
        <f t="shared" si="46"/>
        <v>3.7473422570279808</v>
      </c>
      <c r="AQ70" s="8">
        <f t="shared" si="47"/>
        <v>2.2483880965409861</v>
      </c>
      <c r="AR70" s="8">
        <f t="shared" si="48"/>
        <v>15.380231671330229</v>
      </c>
      <c r="AS70" s="8">
        <f t="shared" si="49"/>
        <v>18.786169402585323</v>
      </c>
      <c r="AT70" s="8">
        <f t="shared" si="50"/>
        <v>57.7993315770007</v>
      </c>
      <c r="AU70" s="14">
        <f t="shared" si="51"/>
        <v>99.999999999999986</v>
      </c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</row>
    <row r="71" spans="1:189" s="19" customFormat="1">
      <c r="A71" s="1" t="s">
        <v>106</v>
      </c>
      <c r="B71" s="12">
        <v>264.26</v>
      </c>
      <c r="C71" s="12">
        <v>2986.16</v>
      </c>
      <c r="D71" s="12">
        <v>-1410.36</v>
      </c>
      <c r="E71" s="12">
        <v>3012.0599999999995</v>
      </c>
      <c r="F71" s="12" t="s">
        <v>133</v>
      </c>
      <c r="G71" s="12" t="s">
        <v>296</v>
      </c>
      <c r="H71" s="2" t="s">
        <v>192</v>
      </c>
      <c r="I71" s="8">
        <v>9.0603820598007395E-2</v>
      </c>
      <c r="J71" s="8">
        <v>0.110900369395944</v>
      </c>
      <c r="K71" s="8">
        <v>1.56903427569581</v>
      </c>
      <c r="L71" s="8">
        <v>0.2733908360166965</v>
      </c>
      <c r="M71" s="8">
        <v>19.480178622073776</v>
      </c>
      <c r="N71" s="8">
        <v>6.4271482043061727</v>
      </c>
      <c r="O71" s="8">
        <v>2.795762015315836</v>
      </c>
      <c r="P71" s="8"/>
      <c r="Q71" s="8"/>
      <c r="R71" s="8">
        <f t="shared" si="28"/>
        <v>25.907326826379951</v>
      </c>
      <c r="S71" s="8">
        <f t="shared" si="29"/>
        <v>28.703088841695784</v>
      </c>
      <c r="T71" s="8">
        <f t="shared" si="30"/>
        <v>28.976479677712483</v>
      </c>
      <c r="U71" s="8">
        <f t="shared" si="31"/>
        <v>27.951256128086406</v>
      </c>
      <c r="V71" s="8">
        <f t="shared" si="32"/>
        <v>30.747018143402244</v>
      </c>
      <c r="W71" s="8">
        <f t="shared" si="33"/>
        <v>26.180717662396646</v>
      </c>
      <c r="X71" s="8">
        <f t="shared" si="34"/>
        <v>1.7705384656897614</v>
      </c>
      <c r="Y71" s="8"/>
      <c r="Z71" s="11"/>
      <c r="AA71" s="8">
        <f t="shared" si="35"/>
        <v>3.0309210248212586</v>
      </c>
      <c r="AB71" s="14">
        <f t="shared" si="36"/>
        <v>14.786867481129384</v>
      </c>
      <c r="AC71" s="11"/>
      <c r="AD71" s="11"/>
      <c r="AE71" s="15">
        <f t="shared" si="37"/>
        <v>1.8642761439919216E-4</v>
      </c>
      <c r="AF71" s="15">
        <f t="shared" si="38"/>
        <v>2.3595823275732766E-4</v>
      </c>
      <c r="AG71" s="15">
        <f t="shared" si="39"/>
        <v>2.2673905718147542E-3</v>
      </c>
      <c r="AH71" s="15">
        <f t="shared" si="40"/>
        <v>1.938942099409195E-3</v>
      </c>
      <c r="AI71" s="15">
        <f t="shared" si="41"/>
        <v>1.940256834867906E-2</v>
      </c>
      <c r="AJ71" s="15">
        <f t="shared" si="42"/>
        <v>1.0930524156983286E-2</v>
      </c>
      <c r="AK71" s="15">
        <f t="shared" si="43"/>
        <v>1.9149054899423534E-2</v>
      </c>
      <c r="AL71" s="11"/>
      <c r="AM71" s="11"/>
      <c r="AN71" s="8">
        <f t="shared" si="44"/>
        <v>0.29467514597817784</v>
      </c>
      <c r="AO71" s="8">
        <f t="shared" si="45"/>
        <v>0.36068658391103603</v>
      </c>
      <c r="AP71" s="8">
        <f t="shared" si="46"/>
        <v>5.1030453372028743</v>
      </c>
      <c r="AQ71" s="8">
        <f t="shared" si="47"/>
        <v>0.88916211237661513</v>
      </c>
      <c r="AR71" s="8">
        <f t="shared" si="48"/>
        <v>63.356318102846252</v>
      </c>
      <c r="AS71" s="8">
        <f t="shared" si="49"/>
        <v>20.903321988266764</v>
      </c>
      <c r="AT71" s="8">
        <f t="shared" si="50"/>
        <v>9.0927907294182813</v>
      </c>
      <c r="AU71" s="14">
        <f t="shared" si="51"/>
        <v>100.00000000000001</v>
      </c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</row>
    <row r="72" spans="1:189" s="19" customFormat="1">
      <c r="A72" s="1" t="s">
        <v>94</v>
      </c>
      <c r="B72" s="12">
        <v>268.45999999999998</v>
      </c>
      <c r="C72" s="12">
        <v>2990.16</v>
      </c>
      <c r="D72" s="12">
        <v>-1414.36</v>
      </c>
      <c r="E72" s="12">
        <v>3016.0599999999995</v>
      </c>
      <c r="F72" s="12" t="s">
        <v>133</v>
      </c>
      <c r="G72" s="12" t="s">
        <v>296</v>
      </c>
      <c r="H72" s="2" t="s">
        <v>193</v>
      </c>
      <c r="I72" s="8">
        <v>9.0749238384824876E-2</v>
      </c>
      <c r="J72" s="8">
        <v>7.1386616826358246E-2</v>
      </c>
      <c r="K72" s="8">
        <v>0.79969602056137001</v>
      </c>
      <c r="L72" s="8">
        <v>0.65829734345834168</v>
      </c>
      <c r="M72" s="8">
        <v>3.7157715918298222</v>
      </c>
      <c r="N72" s="8">
        <v>19.195020763648287</v>
      </c>
      <c r="O72" s="8">
        <v>2.9354103556728388</v>
      </c>
      <c r="P72" s="8"/>
      <c r="Q72" s="8"/>
      <c r="R72" s="8">
        <f t="shared" si="28"/>
        <v>22.910792355478108</v>
      </c>
      <c r="S72" s="8">
        <f t="shared" si="29"/>
        <v>25.846202711150948</v>
      </c>
      <c r="T72" s="8">
        <f t="shared" si="30"/>
        <v>26.504500054609291</v>
      </c>
      <c r="U72" s="8">
        <f t="shared" si="31"/>
        <v>24.530921574709005</v>
      </c>
      <c r="V72" s="8">
        <f t="shared" si="32"/>
        <v>27.466331930381845</v>
      </c>
      <c r="W72" s="8">
        <f t="shared" si="33"/>
        <v>23.569089698936448</v>
      </c>
      <c r="X72" s="8">
        <f t="shared" si="34"/>
        <v>0.96183187577255314</v>
      </c>
      <c r="Y72" s="8"/>
      <c r="Z72" s="11"/>
      <c r="AA72" s="8">
        <f t="shared" si="35"/>
        <v>0.19357997251385034</v>
      </c>
      <c r="AB72" s="14">
        <f t="shared" si="36"/>
        <v>24.504375756943507</v>
      </c>
      <c r="AC72" s="11"/>
      <c r="AD72" s="11"/>
      <c r="AE72" s="15">
        <f t="shared" si="37"/>
        <v>1.8672682795231455E-4</v>
      </c>
      <c r="AF72" s="15">
        <f t="shared" si="38"/>
        <v>1.5188641877948562E-4</v>
      </c>
      <c r="AG72" s="15">
        <f t="shared" si="39"/>
        <v>1.1556300875164307E-3</v>
      </c>
      <c r="AH72" s="15">
        <f t="shared" si="40"/>
        <v>4.6687754855201536E-3</v>
      </c>
      <c r="AI72" s="15">
        <f t="shared" si="41"/>
        <v>3.700967720946038E-3</v>
      </c>
      <c r="AJ72" s="15">
        <f t="shared" si="42"/>
        <v>3.2644593135456271E-2</v>
      </c>
      <c r="AK72" s="15">
        <f t="shared" si="43"/>
        <v>2.0105550381320815E-2</v>
      </c>
      <c r="AL72" s="11"/>
      <c r="AM72" s="11"/>
      <c r="AN72" s="8">
        <f t="shared" si="44"/>
        <v>0.33040173917232363</v>
      </c>
      <c r="AO72" s="8">
        <f t="shared" si="45"/>
        <v>0.25990589863728414</v>
      </c>
      <c r="AP72" s="8">
        <f t="shared" si="46"/>
        <v>2.9115501210294026</v>
      </c>
      <c r="AQ72" s="8">
        <f t="shared" si="47"/>
        <v>2.3967428382024578</v>
      </c>
      <c r="AR72" s="8">
        <f t="shared" si="48"/>
        <v>13.528459501793272</v>
      </c>
      <c r="AS72" s="8">
        <f t="shared" si="49"/>
        <v>69.885636029963436</v>
      </c>
      <c r="AT72" s="8">
        <f t="shared" si="50"/>
        <v>10.687303871201813</v>
      </c>
      <c r="AU72" s="14">
        <f t="shared" si="51"/>
        <v>100</v>
      </c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</row>
    <row r="73" spans="1:189" s="19" customFormat="1">
      <c r="A73" s="1"/>
      <c r="B73" s="12"/>
      <c r="C73" s="11"/>
      <c r="D73" s="11"/>
      <c r="E73" s="11"/>
      <c r="F73" s="12"/>
      <c r="G73" s="11"/>
      <c r="H73" s="2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1"/>
      <c r="AA73" s="8"/>
      <c r="AB73" s="14"/>
      <c r="AC73" s="11"/>
      <c r="AD73" s="11"/>
      <c r="AE73" s="15"/>
      <c r="AF73" s="15"/>
      <c r="AG73" s="15"/>
      <c r="AH73" s="15"/>
      <c r="AI73" s="15"/>
      <c r="AJ73" s="15"/>
      <c r="AK73" s="15"/>
      <c r="AL73" s="11"/>
      <c r="AM73" s="11"/>
      <c r="AN73" s="11"/>
      <c r="AO73" s="11"/>
      <c r="AP73" s="11"/>
      <c r="AQ73" s="11"/>
      <c r="AR73" s="11"/>
      <c r="AS73" s="11"/>
      <c r="AT73" s="11"/>
      <c r="AU73" s="12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</row>
    <row r="74" spans="1:189">
      <c r="I74" s="8"/>
      <c r="J74" s="8"/>
      <c r="K74" s="8"/>
      <c r="L74" s="8"/>
      <c r="M74" s="8"/>
      <c r="N74" s="8"/>
      <c r="O74" s="8"/>
      <c r="P74" s="8"/>
      <c r="Q74" s="8"/>
      <c r="S74" s="8"/>
      <c r="T74" s="8"/>
      <c r="U74" s="8"/>
      <c r="W74" s="8"/>
      <c r="X74" s="8"/>
      <c r="AA74" s="8"/>
      <c r="AB74" s="14"/>
      <c r="AE74" s="15"/>
      <c r="AF74" s="15"/>
      <c r="AG74" s="15"/>
      <c r="AH74" s="15"/>
      <c r="AI74" s="15"/>
      <c r="AJ74" s="15"/>
      <c r="AK74" s="15"/>
    </row>
  </sheetData>
  <mergeCells count="1">
    <mergeCell ref="H1:H2"/>
  </mergeCell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zoomScaleNormal="100" workbookViewId="0">
      <selection activeCell="F34" sqref="F34"/>
    </sheetView>
  </sheetViews>
  <sheetFormatPr defaultRowHeight="12"/>
  <cols>
    <col min="1" max="1" width="9.42578125" style="11" customWidth="1"/>
    <col min="2" max="2" width="10.85546875" style="12" bestFit="1" customWidth="1"/>
    <col min="3" max="3" width="11.5703125" style="12" bestFit="1" customWidth="1"/>
    <col min="4" max="4" width="10.85546875" style="12" customWidth="1"/>
    <col min="5" max="5" width="12.5703125" style="12" bestFit="1" customWidth="1"/>
    <col min="6" max="6" width="9.7109375" style="12" customWidth="1"/>
    <col min="7" max="7" width="16" style="12" bestFit="1" customWidth="1"/>
    <col min="8" max="8" width="11.28515625" style="12" customWidth="1"/>
    <col min="9" max="9" width="10" style="12" customWidth="1"/>
    <col min="10" max="16" width="9.7109375" style="11" customWidth="1"/>
    <col min="17" max="22" width="9.7109375" style="7" customWidth="1"/>
    <col min="23" max="24" width="9.7109375" style="11" customWidth="1"/>
    <col min="25" max="28" width="9.7109375" style="7" customWidth="1"/>
    <col min="29" max="29" width="9.7109375" style="5" customWidth="1"/>
    <col min="30" max="30" width="10.85546875" style="5" bestFit="1" customWidth="1"/>
    <col min="31" max="32" width="10.28515625" style="5" customWidth="1"/>
    <col min="33" max="16384" width="9.140625" style="7"/>
  </cols>
  <sheetData>
    <row r="1" spans="1:39" s="1" customFormat="1">
      <c r="A1" s="1" t="s">
        <v>122</v>
      </c>
      <c r="B1" s="2" t="s">
        <v>212</v>
      </c>
      <c r="C1" s="42" t="s">
        <v>269</v>
      </c>
      <c r="D1" s="42" t="s">
        <v>267</v>
      </c>
      <c r="E1" s="42" t="s">
        <v>270</v>
      </c>
      <c r="F1" s="2" t="s">
        <v>98</v>
      </c>
      <c r="G1" s="42" t="s">
        <v>27</v>
      </c>
      <c r="H1" s="42" t="s">
        <v>27</v>
      </c>
      <c r="I1" s="43" t="s">
        <v>123</v>
      </c>
      <c r="J1" s="3" t="s">
        <v>0</v>
      </c>
      <c r="K1" s="3" t="s">
        <v>1</v>
      </c>
      <c r="L1" s="3" t="s">
        <v>2</v>
      </c>
      <c r="M1" s="3" t="s">
        <v>3</v>
      </c>
      <c r="N1" s="3" t="s">
        <v>4</v>
      </c>
      <c r="O1" s="3" t="s">
        <v>5</v>
      </c>
      <c r="P1" s="3" t="s">
        <v>6</v>
      </c>
      <c r="Q1" s="3"/>
      <c r="R1" s="3" t="s">
        <v>125</v>
      </c>
      <c r="S1" s="3" t="s">
        <v>170</v>
      </c>
      <c r="T1" s="3" t="s">
        <v>57</v>
      </c>
      <c r="U1" s="3" t="s">
        <v>298</v>
      </c>
      <c r="V1" s="3" t="s">
        <v>129</v>
      </c>
      <c r="W1" s="3" t="s">
        <v>61</v>
      </c>
      <c r="X1" s="3" t="s">
        <v>128</v>
      </c>
      <c r="Y1" s="3" t="s">
        <v>95</v>
      </c>
      <c r="Z1" s="3" t="s">
        <v>96</v>
      </c>
      <c r="AA1" s="3"/>
      <c r="AB1" s="1" t="s">
        <v>126</v>
      </c>
      <c r="AC1" s="2" t="s">
        <v>62</v>
      </c>
      <c r="AD1" s="3" t="s">
        <v>97</v>
      </c>
      <c r="AE1" s="3"/>
      <c r="AF1" s="3" t="s">
        <v>213</v>
      </c>
      <c r="AG1" s="2" t="s">
        <v>0</v>
      </c>
      <c r="AH1" s="2" t="s">
        <v>1</v>
      </c>
      <c r="AI1" s="2" t="s">
        <v>2</v>
      </c>
      <c r="AJ1" s="2" t="s">
        <v>3</v>
      </c>
      <c r="AK1" s="2" t="s">
        <v>4</v>
      </c>
      <c r="AL1" s="2" t="s">
        <v>5</v>
      </c>
      <c r="AM1" s="2" t="s">
        <v>6</v>
      </c>
    </row>
    <row r="2" spans="1:39" s="1" customFormat="1">
      <c r="B2" s="2" t="s">
        <v>227</v>
      </c>
      <c r="C2" s="42"/>
      <c r="D2" s="42"/>
      <c r="E2" s="42"/>
      <c r="F2" s="2" t="s">
        <v>169</v>
      </c>
      <c r="G2" s="42" t="s">
        <v>228</v>
      </c>
      <c r="H2" s="42" t="s">
        <v>232</v>
      </c>
      <c r="I2" s="43"/>
      <c r="J2" s="3" t="s">
        <v>124</v>
      </c>
      <c r="K2" s="3" t="s">
        <v>124</v>
      </c>
      <c r="L2" s="3" t="s">
        <v>124</v>
      </c>
      <c r="M2" s="3" t="s">
        <v>124</v>
      </c>
      <c r="N2" s="3" t="s">
        <v>124</v>
      </c>
      <c r="O2" s="3" t="s">
        <v>124</v>
      </c>
      <c r="P2" s="3" t="s">
        <v>124</v>
      </c>
      <c r="Q2" s="3"/>
      <c r="R2" s="3"/>
      <c r="S2" s="3" t="s">
        <v>124</v>
      </c>
      <c r="T2" s="3" t="s">
        <v>124</v>
      </c>
      <c r="U2" s="3" t="s">
        <v>124</v>
      </c>
      <c r="V2" s="3" t="s">
        <v>124</v>
      </c>
      <c r="W2" s="3" t="s">
        <v>124</v>
      </c>
      <c r="X2" s="3" t="s">
        <v>124</v>
      </c>
      <c r="Y2" s="3" t="s">
        <v>124</v>
      </c>
      <c r="Z2" s="3" t="s">
        <v>124</v>
      </c>
      <c r="AA2" s="3"/>
      <c r="AC2" s="3" t="s">
        <v>127</v>
      </c>
      <c r="AD2" s="3" t="s">
        <v>127</v>
      </c>
      <c r="AE2" s="3"/>
      <c r="AF2" s="3"/>
      <c r="AG2" s="2" t="s">
        <v>127</v>
      </c>
      <c r="AH2" s="2" t="s">
        <v>127</v>
      </c>
      <c r="AI2" s="2" t="s">
        <v>127</v>
      </c>
      <c r="AJ2" s="2" t="s">
        <v>127</v>
      </c>
      <c r="AK2" s="2" t="s">
        <v>127</v>
      </c>
      <c r="AL2" s="2" t="s">
        <v>127</v>
      </c>
      <c r="AM2" s="2" t="s">
        <v>127</v>
      </c>
    </row>
    <row r="3" spans="1:39">
      <c r="A3" s="1" t="s">
        <v>49</v>
      </c>
      <c r="B3" s="2">
        <v>2802.52</v>
      </c>
      <c r="C3" s="12">
        <v>2802.52</v>
      </c>
      <c r="D3" s="12">
        <v>-1226.72</v>
      </c>
      <c r="E3" s="12">
        <v>82.54</v>
      </c>
      <c r="F3" s="12" t="s">
        <v>229</v>
      </c>
      <c r="G3" s="12" t="s">
        <v>25</v>
      </c>
      <c r="H3" s="12" t="s">
        <v>136</v>
      </c>
      <c r="I3" s="2" t="s">
        <v>192</v>
      </c>
      <c r="J3" s="8">
        <v>0.77594638840718422</v>
      </c>
      <c r="K3" s="8">
        <v>0.78229836009740006</v>
      </c>
      <c r="L3" s="8">
        <v>4.3011780859602142</v>
      </c>
      <c r="M3" s="8">
        <v>1.6892790256973147</v>
      </c>
      <c r="N3" s="8">
        <v>3.1838662353562417</v>
      </c>
      <c r="O3" s="8">
        <v>4.9007796253582638</v>
      </c>
      <c r="P3" s="8">
        <v>0.23041706864383876</v>
      </c>
      <c r="S3" s="6">
        <f>N3+O3</f>
        <v>8.084645860714506</v>
      </c>
      <c r="T3" s="6">
        <f>N3+O3+P3</f>
        <v>8.3150629293583442</v>
      </c>
      <c r="U3" s="6">
        <f>M3+N3+O3</f>
        <v>9.7739248864118196</v>
      </c>
      <c r="V3" s="6">
        <f>M3+N3+O3+P3</f>
        <v>10.004341955055658</v>
      </c>
      <c r="W3" s="8">
        <f>J3+K3+L3+M3+N3+O3</f>
        <v>15.633347720876618</v>
      </c>
      <c r="X3" s="8">
        <f>J3+K3+L3+M3+N3+O3+P3</f>
        <v>15.863764789520456</v>
      </c>
      <c r="Y3" s="6">
        <f>M3+N3+O3</f>
        <v>9.7739248864118196</v>
      </c>
      <c r="Z3" s="6">
        <f>J3+K3+L3</f>
        <v>5.8594228344647981</v>
      </c>
      <c r="AA3" s="6"/>
      <c r="AB3" s="9"/>
      <c r="AC3" s="6">
        <f>N3/O3</f>
        <v>0.64966525303073386</v>
      </c>
      <c r="AD3" s="6">
        <f>Y3/Z3</f>
        <v>1.6680695629136268</v>
      </c>
      <c r="AE3" s="6"/>
      <c r="AF3" s="6"/>
      <c r="AG3" s="10">
        <f>J3/486</f>
        <v>1.5965975070106671E-3</v>
      </c>
      <c r="AH3" s="10">
        <f>K3/470</f>
        <v>1.664464595951915E-3</v>
      </c>
      <c r="AI3" s="10">
        <f>L3/692</f>
        <v>6.2155752687286332E-3</v>
      </c>
      <c r="AJ3" s="10">
        <f>M3/141</f>
        <v>1.1980702309910033E-2</v>
      </c>
      <c r="AK3" s="10">
        <f>N3/1004</f>
        <v>3.1711815093189658E-3</v>
      </c>
      <c r="AL3" s="10">
        <f>O3/588</f>
        <v>8.3346592267997677E-3</v>
      </c>
      <c r="AM3" s="10">
        <f>P3/146</f>
        <v>1.5781991003002655E-3</v>
      </c>
    </row>
    <row r="4" spans="1:39">
      <c r="A4" s="1" t="s">
        <v>138</v>
      </c>
      <c r="B4" s="2">
        <v>2802.95</v>
      </c>
      <c r="C4" s="12">
        <v>2802.95</v>
      </c>
      <c r="D4" s="12">
        <v>-1227.1499999999999</v>
      </c>
      <c r="E4" s="12">
        <v>82.049999999999912</v>
      </c>
      <c r="F4" s="12" t="s">
        <v>229</v>
      </c>
      <c r="G4" s="12" t="s">
        <v>200</v>
      </c>
      <c r="H4" s="12" t="s">
        <v>137</v>
      </c>
      <c r="I4" s="2" t="s">
        <v>192</v>
      </c>
      <c r="J4" s="8">
        <v>0.66487717458987672</v>
      </c>
      <c r="K4" s="8">
        <v>0.85421299925182093</v>
      </c>
      <c r="L4" s="8">
        <v>4.0094243504839513</v>
      </c>
      <c r="M4" s="8">
        <v>1.9816885012624856</v>
      </c>
      <c r="N4" s="8">
        <v>8.0167878164869855</v>
      </c>
      <c r="O4" s="8">
        <v>12.943971216438639</v>
      </c>
      <c r="P4" s="8">
        <v>1.1601495898307277</v>
      </c>
      <c r="S4" s="6">
        <f t="shared" ref="S4:S27" si="0">N4+O4</f>
        <v>20.960759032925623</v>
      </c>
      <c r="T4" s="6">
        <f t="shared" ref="T4:T27" si="1">N4+O4+P4</f>
        <v>22.12090862275635</v>
      </c>
      <c r="U4" s="6">
        <f t="shared" ref="U4:U27" si="2">M4+N4+O4</f>
        <v>22.942447534188112</v>
      </c>
      <c r="V4" s="6">
        <f t="shared" ref="V4:V27" si="3">M4+N4+O4+P4</f>
        <v>24.102597124018839</v>
      </c>
      <c r="W4" s="8">
        <f t="shared" ref="W4:W27" si="4">J4+K4+L4+M4+N4+O4</f>
        <v>28.470962058513759</v>
      </c>
      <c r="X4" s="8">
        <f t="shared" ref="X4:X27" si="5">J4+K4+L4+M4+N4+O4+P4</f>
        <v>29.631111648344486</v>
      </c>
      <c r="Y4" s="6">
        <f t="shared" ref="Y4:Y27" si="6">M4+N4+O4</f>
        <v>22.942447534188112</v>
      </c>
      <c r="Z4" s="6">
        <f t="shared" ref="Z4:Z27" si="7">J4+K4+L4</f>
        <v>5.528514524325649</v>
      </c>
      <c r="AA4" s="6"/>
      <c r="AB4" s="9"/>
      <c r="AC4" s="6">
        <f t="shared" ref="AC4:AC27" si="8">N4/O4</f>
        <v>0.61934530619983086</v>
      </c>
      <c r="AD4" s="6">
        <f t="shared" ref="AD4:AD27" si="9">Y4/Z4</f>
        <v>4.1498394249016757</v>
      </c>
      <c r="AE4" s="6"/>
      <c r="AF4" s="6"/>
      <c r="AG4" s="10">
        <f t="shared" ref="AG4:AG27" si="10">J4/486</f>
        <v>1.3680600300203225E-3</v>
      </c>
      <c r="AH4" s="10">
        <f t="shared" ref="AH4:AH27" si="11">K4/470</f>
        <v>1.8174744664932361E-3</v>
      </c>
      <c r="AI4" s="10">
        <f t="shared" ref="AI4:AI27" si="12">L4/692</f>
        <v>5.793965824398774E-3</v>
      </c>
      <c r="AJ4" s="10">
        <f t="shared" ref="AJ4:AJ27" si="13">M4/141</f>
        <v>1.4054528377748125E-2</v>
      </c>
      <c r="AK4" s="10">
        <f t="shared" ref="AK4:AK27" si="14">N4/1004</f>
        <v>7.9848484227958028E-3</v>
      </c>
      <c r="AL4" s="10">
        <f t="shared" ref="AL4:AL27" si="15">O4/588</f>
        <v>2.2013556490541902E-2</v>
      </c>
      <c r="AM4" s="10">
        <f t="shared" ref="AM4:AM27" si="16">P4/146</f>
        <v>7.9462300673337517E-3</v>
      </c>
    </row>
    <row r="5" spans="1:39">
      <c r="A5" s="1" t="s">
        <v>266</v>
      </c>
      <c r="B5" s="2">
        <v>2802.95</v>
      </c>
      <c r="C5" s="12">
        <v>2802.95</v>
      </c>
      <c r="D5" s="12">
        <v>-1227.1499999999999</v>
      </c>
      <c r="E5" s="12">
        <v>82.049999999999912</v>
      </c>
      <c r="F5" s="12" t="s">
        <v>229</v>
      </c>
      <c r="G5" s="12" t="s">
        <v>200</v>
      </c>
      <c r="H5" s="12" t="s">
        <v>137</v>
      </c>
      <c r="I5" s="2" t="s">
        <v>199</v>
      </c>
      <c r="J5" s="8">
        <v>0.5918346223679708</v>
      </c>
      <c r="K5" s="8">
        <v>0.94428876194739642</v>
      </c>
      <c r="L5" s="8">
        <v>3.9181995651487935</v>
      </c>
      <c r="M5" s="8">
        <v>3.0428351991889979</v>
      </c>
      <c r="N5" s="8">
        <v>12.558044799975191</v>
      </c>
      <c r="O5" s="8">
        <v>12.162721268936696</v>
      </c>
      <c r="P5" s="8">
        <v>1.9051741580249784</v>
      </c>
      <c r="S5" s="6">
        <f t="shared" si="0"/>
        <v>24.720766068911885</v>
      </c>
      <c r="T5" s="6">
        <f t="shared" si="1"/>
        <v>26.625940226936862</v>
      </c>
      <c r="U5" s="6">
        <f t="shared" si="2"/>
        <v>27.763601268100885</v>
      </c>
      <c r="V5" s="6">
        <f t="shared" si="3"/>
        <v>29.668775426125862</v>
      </c>
      <c r="W5" s="8">
        <f t="shared" si="4"/>
        <v>33.217924217565042</v>
      </c>
      <c r="X5" s="8">
        <f t="shared" si="5"/>
        <v>35.123098375590018</v>
      </c>
      <c r="Y5" s="6">
        <f t="shared" si="6"/>
        <v>27.763601268100885</v>
      </c>
      <c r="Z5" s="6">
        <f t="shared" si="7"/>
        <v>5.454322949464161</v>
      </c>
      <c r="AA5" s="6"/>
      <c r="AB5" s="9"/>
      <c r="AC5" s="6">
        <f t="shared" si="8"/>
        <v>1.0325028850285456</v>
      </c>
      <c r="AD5" s="6">
        <f t="shared" si="9"/>
        <v>5.0902012083513339</v>
      </c>
      <c r="AE5" s="6"/>
      <c r="AF5" s="6"/>
      <c r="AG5" s="10">
        <f t="shared" si="10"/>
        <v>1.217766712691298E-3</v>
      </c>
      <c r="AH5" s="10">
        <f t="shared" si="11"/>
        <v>2.0091250254199926E-3</v>
      </c>
      <c r="AI5" s="10">
        <f t="shared" si="12"/>
        <v>5.6621380999260021E-3</v>
      </c>
      <c r="AJ5" s="10">
        <f t="shared" si="13"/>
        <v>2.1580391483609913E-2</v>
      </c>
      <c r="AK5" s="10">
        <f t="shared" si="14"/>
        <v>1.2508012748979273E-2</v>
      </c>
      <c r="AL5" s="10">
        <f t="shared" si="15"/>
        <v>2.068490011723928E-2</v>
      </c>
      <c r="AM5" s="10">
        <f t="shared" si="16"/>
        <v>1.3049138068664236E-2</v>
      </c>
    </row>
    <row r="6" spans="1:39">
      <c r="A6" s="1" t="s">
        <v>139</v>
      </c>
      <c r="B6" s="2">
        <v>2805.32</v>
      </c>
      <c r="C6" s="12">
        <v>2805.32</v>
      </c>
      <c r="D6" s="12">
        <v>-1229.5200000000002</v>
      </c>
      <c r="E6" s="12" t="s">
        <v>268</v>
      </c>
      <c r="F6" s="12" t="s">
        <v>229</v>
      </c>
      <c r="G6" s="12" t="s">
        <v>20</v>
      </c>
      <c r="H6" s="12" t="s">
        <v>214</v>
      </c>
      <c r="I6" s="2" t="s">
        <v>199</v>
      </c>
      <c r="J6" s="8">
        <v>6.2120013755158E-2</v>
      </c>
      <c r="K6" s="8">
        <v>4.9730367655226003E-2</v>
      </c>
      <c r="L6" s="8">
        <v>0.57367990321662388</v>
      </c>
      <c r="M6" s="8">
        <v>0.43586476624033527</v>
      </c>
      <c r="N6" s="8">
        <v>19.132259485471039</v>
      </c>
      <c r="O6" s="8">
        <v>10.0762144701739</v>
      </c>
      <c r="P6" s="8">
        <v>4.4665916281081897</v>
      </c>
      <c r="S6" s="6">
        <f t="shared" si="0"/>
        <v>29.208473955644941</v>
      </c>
      <c r="T6" s="6">
        <f t="shared" si="1"/>
        <v>33.675065583753131</v>
      </c>
      <c r="U6" s="6">
        <f t="shared" si="2"/>
        <v>29.644338721885276</v>
      </c>
      <c r="V6" s="6">
        <f t="shared" si="3"/>
        <v>34.110930349993467</v>
      </c>
      <c r="W6" s="8">
        <f t="shared" si="4"/>
        <v>30.329869006512283</v>
      </c>
      <c r="X6" s="8">
        <f t="shared" si="5"/>
        <v>34.796460634620473</v>
      </c>
      <c r="Y6" s="6">
        <f t="shared" si="6"/>
        <v>29.644338721885276</v>
      </c>
      <c r="Z6" s="6">
        <f t="shared" si="7"/>
        <v>0.68553028462700794</v>
      </c>
      <c r="AA6" s="6"/>
      <c r="AB6" s="9"/>
      <c r="AC6" s="6">
        <f t="shared" si="8"/>
        <v>1.8987546902761434</v>
      </c>
      <c r="AD6" s="6">
        <f t="shared" si="9"/>
        <v>43.242930891105047</v>
      </c>
      <c r="AE6" s="6"/>
      <c r="AF6" s="6"/>
      <c r="AG6" s="10">
        <f t="shared" si="10"/>
        <v>1.2781895834394649E-4</v>
      </c>
      <c r="AH6" s="10">
        <f t="shared" si="11"/>
        <v>1.0580929288345958E-4</v>
      </c>
      <c r="AI6" s="10">
        <f t="shared" si="12"/>
        <v>8.2901720118009226E-4</v>
      </c>
      <c r="AJ6" s="10">
        <f t="shared" si="13"/>
        <v>3.0912394768818105E-3</v>
      </c>
      <c r="AK6" s="10">
        <f t="shared" si="14"/>
        <v>1.9056035344094661E-2</v>
      </c>
      <c r="AL6" s="10">
        <f t="shared" si="15"/>
        <v>1.7136419166962416E-2</v>
      </c>
      <c r="AM6" s="10">
        <f t="shared" si="16"/>
        <v>3.0593093343206777E-2</v>
      </c>
    </row>
    <row r="7" spans="1:39">
      <c r="A7" s="1" t="s">
        <v>140</v>
      </c>
      <c r="B7" s="2">
        <v>2807.66</v>
      </c>
      <c r="C7" s="12">
        <v>2807.6849999999999</v>
      </c>
      <c r="D7" s="12">
        <v>-1231.885</v>
      </c>
      <c r="E7" s="12">
        <v>85.035000000000039</v>
      </c>
      <c r="F7" s="12" t="s">
        <v>229</v>
      </c>
      <c r="G7" s="12" t="s">
        <v>141</v>
      </c>
      <c r="H7" s="12" t="s">
        <v>30</v>
      </c>
      <c r="I7" s="2" t="s">
        <v>192</v>
      </c>
      <c r="J7" s="8">
        <v>0.8348967598597854</v>
      </c>
      <c r="K7" s="8">
        <v>1.0429204104502905</v>
      </c>
      <c r="L7" s="8">
        <v>7.6315941362754094</v>
      </c>
      <c r="M7" s="8">
        <v>6.2349046432701556</v>
      </c>
      <c r="N7" s="8">
        <v>82.77681112285552</v>
      </c>
      <c r="O7" s="8">
        <v>139.87296679028628</v>
      </c>
      <c r="P7" s="8">
        <v>1.0657500588569651</v>
      </c>
      <c r="S7" s="6">
        <f t="shared" si="0"/>
        <v>222.6497779131418</v>
      </c>
      <c r="T7" s="6">
        <f t="shared" si="1"/>
        <v>223.71552797199877</v>
      </c>
      <c r="U7" s="6">
        <f t="shared" si="2"/>
        <v>228.88468255641197</v>
      </c>
      <c r="V7" s="6">
        <f t="shared" si="3"/>
        <v>229.95043261526894</v>
      </c>
      <c r="W7" s="8">
        <f t="shared" si="4"/>
        <v>238.39409386299747</v>
      </c>
      <c r="X7" s="8">
        <f t="shared" si="5"/>
        <v>239.45984392185443</v>
      </c>
      <c r="Y7" s="6">
        <f t="shared" si="6"/>
        <v>228.88468255641197</v>
      </c>
      <c r="Z7" s="6">
        <f t="shared" si="7"/>
        <v>9.5094113065854859</v>
      </c>
      <c r="AA7" s="6"/>
      <c r="AB7" s="9"/>
      <c r="AC7" s="6">
        <f t="shared" si="8"/>
        <v>0.59179992404796899</v>
      </c>
      <c r="AD7" s="6">
        <f t="shared" si="9"/>
        <v>24.069279914089325</v>
      </c>
      <c r="AE7" s="6"/>
      <c r="AF7" s="6"/>
      <c r="AG7" s="10">
        <f t="shared" si="10"/>
        <v>1.7178945676127272E-3</v>
      </c>
      <c r="AH7" s="10">
        <f t="shared" si="11"/>
        <v>2.2189795967027456E-3</v>
      </c>
      <c r="AI7" s="10">
        <f t="shared" si="12"/>
        <v>1.1028315225831517E-2</v>
      </c>
      <c r="AJ7" s="10">
        <f t="shared" si="13"/>
        <v>4.4219181867164226E-2</v>
      </c>
      <c r="AK7" s="10">
        <f t="shared" si="14"/>
        <v>8.2447023030732591E-2</v>
      </c>
      <c r="AL7" s="10">
        <f t="shared" si="15"/>
        <v>0.2378791952215753</v>
      </c>
      <c r="AM7" s="10">
        <f t="shared" si="16"/>
        <v>7.2996579373764726E-3</v>
      </c>
    </row>
    <row r="8" spans="1:39">
      <c r="A8" s="1" t="s">
        <v>142</v>
      </c>
      <c r="B8" s="2">
        <v>2808.37</v>
      </c>
      <c r="C8" s="12">
        <v>2808.44</v>
      </c>
      <c r="D8" s="12">
        <v>-1232.6400000000001</v>
      </c>
      <c r="E8" s="12">
        <v>85.790000000000148</v>
      </c>
      <c r="F8" s="12" t="s">
        <v>229</v>
      </c>
      <c r="G8" s="12" t="s">
        <v>143</v>
      </c>
      <c r="H8" s="12" t="s">
        <v>215</v>
      </c>
      <c r="I8" s="2" t="s">
        <v>192</v>
      </c>
      <c r="J8" s="8">
        <v>0.10333996722922</v>
      </c>
      <c r="K8" s="8">
        <v>0.12629400233566898</v>
      </c>
      <c r="L8" s="8">
        <v>4.9582558760683737</v>
      </c>
      <c r="M8" s="8">
        <v>0.67774738252464339</v>
      </c>
      <c r="N8" s="8">
        <v>5.1343503671309794</v>
      </c>
      <c r="O8" s="8">
        <v>4.6413545568039956</v>
      </c>
      <c r="P8" s="8">
        <v>0.4042775329197954</v>
      </c>
      <c r="S8" s="6">
        <f t="shared" si="0"/>
        <v>9.775704923934974</v>
      </c>
      <c r="T8" s="6">
        <f t="shared" si="1"/>
        <v>10.17998245685477</v>
      </c>
      <c r="U8" s="6">
        <f t="shared" si="2"/>
        <v>10.453452306459617</v>
      </c>
      <c r="V8" s="6">
        <f t="shared" si="3"/>
        <v>10.857729839379413</v>
      </c>
      <c r="W8" s="8">
        <f t="shared" si="4"/>
        <v>15.641342152092882</v>
      </c>
      <c r="X8" s="8">
        <f t="shared" si="5"/>
        <v>16.045619685012678</v>
      </c>
      <c r="Y8" s="6">
        <f t="shared" si="6"/>
        <v>10.453452306459617</v>
      </c>
      <c r="Z8" s="6">
        <f t="shared" si="7"/>
        <v>5.1878898456332623</v>
      </c>
      <c r="AA8" s="6"/>
      <c r="AB8" s="9"/>
      <c r="AC8" s="6">
        <f t="shared" si="8"/>
        <v>1.1062180887698563</v>
      </c>
      <c r="AD8" s="6">
        <f t="shared" si="9"/>
        <v>2.0149719091006668</v>
      </c>
      <c r="AE8" s="6"/>
      <c r="AF8" s="6"/>
      <c r="AG8" s="10">
        <f t="shared" si="10"/>
        <v>2.1263367742637858E-4</v>
      </c>
      <c r="AH8" s="10">
        <f t="shared" si="11"/>
        <v>2.6871064326738079E-4</v>
      </c>
      <c r="AI8" s="10">
        <f t="shared" si="12"/>
        <v>7.1651096474976495E-3</v>
      </c>
      <c r="AJ8" s="10">
        <f t="shared" si="13"/>
        <v>4.8067190249974712E-3</v>
      </c>
      <c r="AK8" s="10">
        <f t="shared" si="14"/>
        <v>5.113894787979063E-3</v>
      </c>
      <c r="AL8" s="10">
        <f t="shared" si="15"/>
        <v>7.8934601306190396E-3</v>
      </c>
      <c r="AM8" s="10">
        <f t="shared" si="16"/>
        <v>2.7690241980807906E-3</v>
      </c>
    </row>
    <row r="9" spans="1:39">
      <c r="A9" s="1" t="s">
        <v>144</v>
      </c>
      <c r="B9" s="2">
        <v>2809.01</v>
      </c>
      <c r="C9" s="12">
        <v>2809.04</v>
      </c>
      <c r="D9" s="12">
        <v>-1233.24</v>
      </c>
      <c r="E9" s="12">
        <v>88.2</v>
      </c>
      <c r="F9" s="12" t="s">
        <v>229</v>
      </c>
      <c r="G9" s="12" t="s">
        <v>48</v>
      </c>
      <c r="H9" s="12" t="s">
        <v>215</v>
      </c>
      <c r="I9" s="2" t="s">
        <v>192</v>
      </c>
      <c r="J9" s="8">
        <v>40.061695411415855</v>
      </c>
      <c r="K9" s="8">
        <v>41.636892366819374</v>
      </c>
      <c r="L9" s="8">
        <v>87.231424293468109</v>
      </c>
      <c r="M9" s="8">
        <v>388.88237633888059</v>
      </c>
      <c r="N9" s="8">
        <v>3014.0924655278477</v>
      </c>
      <c r="O9" s="8">
        <v>2502.3138538926291</v>
      </c>
      <c r="P9" s="8">
        <v>10.233523194017058</v>
      </c>
      <c r="S9" s="6">
        <f t="shared" si="0"/>
        <v>5516.4063194204773</v>
      </c>
      <c r="T9" s="6">
        <f t="shared" si="1"/>
        <v>5526.6398426144942</v>
      </c>
      <c r="U9" s="6">
        <f t="shared" si="2"/>
        <v>5905.2886957593573</v>
      </c>
      <c r="V9" s="6">
        <f t="shared" si="3"/>
        <v>5915.5222189533742</v>
      </c>
      <c r="W9" s="8">
        <f t="shared" si="4"/>
        <v>6074.2187078310608</v>
      </c>
      <c r="X9" s="8">
        <f t="shared" si="5"/>
        <v>6084.4522310250777</v>
      </c>
      <c r="Y9" s="6">
        <f t="shared" si="6"/>
        <v>5905.2886957593573</v>
      </c>
      <c r="Z9" s="6">
        <f t="shared" si="7"/>
        <v>168.93001207170335</v>
      </c>
      <c r="AA9" s="6"/>
      <c r="AB9" s="9"/>
      <c r="AC9" s="6">
        <f t="shared" si="8"/>
        <v>1.2045221509040882</v>
      </c>
      <c r="AD9" s="6">
        <f t="shared" si="9"/>
        <v>34.957013400631396</v>
      </c>
      <c r="AE9" s="6"/>
      <c r="AF9" s="6"/>
      <c r="AG9" s="10">
        <f t="shared" si="10"/>
        <v>8.2431472039950313E-2</v>
      </c>
      <c r="AH9" s="10">
        <f t="shared" si="11"/>
        <v>8.8589132695360367E-2</v>
      </c>
      <c r="AI9" s="10">
        <f t="shared" si="12"/>
        <v>0.12605697152235276</v>
      </c>
      <c r="AJ9" s="10">
        <f t="shared" si="13"/>
        <v>2.7580310378644013</v>
      </c>
      <c r="AK9" s="10">
        <f t="shared" si="14"/>
        <v>3.0020841290118003</v>
      </c>
      <c r="AL9" s="10">
        <f t="shared" si="15"/>
        <v>4.2556358059398454</v>
      </c>
      <c r="AM9" s="10">
        <f t="shared" si="16"/>
        <v>7.0092624616555188E-2</v>
      </c>
    </row>
    <row r="10" spans="1:39">
      <c r="A10" s="1" t="s">
        <v>145</v>
      </c>
      <c r="B10" s="2">
        <v>2809.13</v>
      </c>
      <c r="C10" s="12">
        <v>2809.13</v>
      </c>
      <c r="D10" s="12">
        <v>-1233.3300000000002</v>
      </c>
      <c r="E10" s="12">
        <v>88.230000000000203</v>
      </c>
      <c r="F10" s="12" t="s">
        <v>230</v>
      </c>
      <c r="G10" s="12" t="s">
        <v>201</v>
      </c>
      <c r="H10" s="12" t="s">
        <v>216</v>
      </c>
      <c r="I10" s="2" t="s">
        <v>199</v>
      </c>
      <c r="J10" s="8">
        <v>0.2019695279861223</v>
      </c>
      <c r="K10" s="8">
        <v>0.77226361211682781</v>
      </c>
      <c r="L10" s="8">
        <v>1.7224899156973377</v>
      </c>
      <c r="M10" s="8">
        <v>8.4113173477742436</v>
      </c>
      <c r="N10" s="8">
        <v>154.4008866301929</v>
      </c>
      <c r="O10" s="8">
        <v>1532.8330898588097</v>
      </c>
      <c r="P10" s="8">
        <v>11.701130301269275</v>
      </c>
      <c r="S10" s="6">
        <f t="shared" si="0"/>
        <v>1687.2339764890025</v>
      </c>
      <c r="T10" s="6">
        <f t="shared" si="1"/>
        <v>1698.9351067902719</v>
      </c>
      <c r="U10" s="6">
        <f t="shared" si="2"/>
        <v>1695.6452938367768</v>
      </c>
      <c r="V10" s="6">
        <f t="shared" si="3"/>
        <v>1707.3464241380461</v>
      </c>
      <c r="W10" s="8">
        <f t="shared" si="4"/>
        <v>1698.342016892577</v>
      </c>
      <c r="X10" s="8">
        <f t="shared" si="5"/>
        <v>1710.0431471938464</v>
      </c>
      <c r="Y10" s="6">
        <f t="shared" si="6"/>
        <v>1695.6452938367768</v>
      </c>
      <c r="Z10" s="6">
        <f t="shared" si="7"/>
        <v>2.6967230558002879</v>
      </c>
      <c r="AA10" s="6"/>
      <c r="AB10" s="9"/>
      <c r="AC10" s="6">
        <f t="shared" si="8"/>
        <v>0.10072909284885993</v>
      </c>
      <c r="AD10" s="6">
        <f t="shared" si="9"/>
        <v>628.77991501191502</v>
      </c>
      <c r="AE10" s="6"/>
      <c r="AF10" s="6"/>
      <c r="AG10" s="10">
        <f t="shared" si="10"/>
        <v>4.1557516046527221E-4</v>
      </c>
      <c r="AH10" s="10">
        <f t="shared" si="11"/>
        <v>1.6431140683336762E-3</v>
      </c>
      <c r="AI10" s="10">
        <f t="shared" si="12"/>
        <v>2.489147277019274E-3</v>
      </c>
      <c r="AJ10" s="10">
        <f t="shared" si="13"/>
        <v>5.9654732962937898E-2</v>
      </c>
      <c r="AK10" s="10">
        <f t="shared" si="14"/>
        <v>0.15378574365557063</v>
      </c>
      <c r="AL10" s="10">
        <f t="shared" si="15"/>
        <v>2.60685899635852</v>
      </c>
      <c r="AM10" s="10">
        <f t="shared" si="16"/>
        <v>8.014472809088545E-2</v>
      </c>
    </row>
    <row r="11" spans="1:39">
      <c r="A11" s="1" t="s">
        <v>146</v>
      </c>
      <c r="B11" s="2">
        <v>2809.2049999999999</v>
      </c>
      <c r="C11" s="12">
        <v>2809.2049999999999</v>
      </c>
      <c r="D11" s="12">
        <v>-1233.405</v>
      </c>
      <c r="E11" s="12">
        <v>88.305000000000021</v>
      </c>
      <c r="F11" s="12" t="s">
        <v>230</v>
      </c>
      <c r="G11" s="12" t="s">
        <v>201</v>
      </c>
      <c r="H11" s="12" t="s">
        <v>217</v>
      </c>
      <c r="I11" s="2" t="s">
        <v>199</v>
      </c>
      <c r="J11" s="8">
        <v>6.7938380753893995E-2</v>
      </c>
      <c r="K11" s="8">
        <v>0.13513010936615999</v>
      </c>
      <c r="L11" s="8">
        <v>1.3420644389142002</v>
      </c>
      <c r="M11" s="8">
        <v>0.65103363857515983</v>
      </c>
      <c r="N11" s="8">
        <v>138.31532723472168</v>
      </c>
      <c r="O11" s="8">
        <v>2.8596874123689573</v>
      </c>
      <c r="P11" s="8">
        <v>12.084020520095184</v>
      </c>
      <c r="S11" s="6">
        <f t="shared" si="0"/>
        <v>141.17501464709065</v>
      </c>
      <c r="T11" s="6">
        <f t="shared" si="1"/>
        <v>153.25903516718583</v>
      </c>
      <c r="U11" s="6">
        <f t="shared" si="2"/>
        <v>141.82604828566582</v>
      </c>
      <c r="V11" s="6">
        <f t="shared" si="3"/>
        <v>153.910068805761</v>
      </c>
      <c r="W11" s="8">
        <f t="shared" si="4"/>
        <v>143.37118121470007</v>
      </c>
      <c r="X11" s="8">
        <f t="shared" si="5"/>
        <v>155.45520173479525</v>
      </c>
      <c r="Y11" s="6">
        <f t="shared" si="6"/>
        <v>141.82604828566582</v>
      </c>
      <c r="Z11" s="6">
        <f t="shared" si="7"/>
        <v>1.5451329290342541</v>
      </c>
      <c r="AA11" s="6"/>
      <c r="AB11" s="9"/>
      <c r="AC11" s="6">
        <f t="shared" si="8"/>
        <v>48.367288898943549</v>
      </c>
      <c r="AD11" s="6">
        <f t="shared" si="9"/>
        <v>91.788897654463014</v>
      </c>
      <c r="AE11" s="6"/>
      <c r="AF11" s="6"/>
      <c r="AG11" s="10">
        <f t="shared" si="10"/>
        <v>1.3979090690101646E-4</v>
      </c>
      <c r="AH11" s="10">
        <f t="shared" si="11"/>
        <v>2.8751087099182976E-4</v>
      </c>
      <c r="AI11" s="10">
        <f t="shared" si="12"/>
        <v>1.9393994781997112E-3</v>
      </c>
      <c r="AJ11" s="10">
        <f t="shared" si="13"/>
        <v>4.6172598480507792E-3</v>
      </c>
      <c r="AK11" s="10">
        <f t="shared" si="14"/>
        <v>0.13776427015410525</v>
      </c>
      <c r="AL11" s="10">
        <f t="shared" si="15"/>
        <v>4.8634139666138727E-3</v>
      </c>
      <c r="AM11" s="10">
        <f t="shared" si="16"/>
        <v>8.2767263836268382E-2</v>
      </c>
    </row>
    <row r="12" spans="1:39">
      <c r="A12" s="1" t="s">
        <v>147</v>
      </c>
      <c r="B12" s="2">
        <v>2810.17</v>
      </c>
      <c r="C12" s="12">
        <v>2810.2049999999999</v>
      </c>
      <c r="D12" s="12">
        <v>-1234.405</v>
      </c>
      <c r="E12" s="12">
        <v>89.305000000000021</v>
      </c>
      <c r="F12" s="12" t="s">
        <v>230</v>
      </c>
      <c r="G12" s="12" t="s">
        <v>148</v>
      </c>
      <c r="H12" s="12" t="s">
        <v>218</v>
      </c>
      <c r="I12" s="2" t="s">
        <v>192</v>
      </c>
      <c r="J12" s="8">
        <v>0.13774467897096901</v>
      </c>
      <c r="K12" s="8">
        <v>0.10812405520334469</v>
      </c>
      <c r="L12" s="8">
        <v>1.7926103378401499</v>
      </c>
      <c r="M12" s="8">
        <v>0.58042103579670179</v>
      </c>
      <c r="N12" s="8">
        <v>7.7602919982144405</v>
      </c>
      <c r="O12" s="8">
        <v>6.943410671081244</v>
      </c>
      <c r="P12" s="8">
        <v>0.82407486573004674</v>
      </c>
      <c r="S12" s="6">
        <f t="shared" si="0"/>
        <v>14.703702669295684</v>
      </c>
      <c r="T12" s="6">
        <f t="shared" si="1"/>
        <v>15.527777535025731</v>
      </c>
      <c r="U12" s="6">
        <f t="shared" si="2"/>
        <v>15.284123705092385</v>
      </c>
      <c r="V12" s="6">
        <f t="shared" si="3"/>
        <v>16.108198570822431</v>
      </c>
      <c r="W12" s="8">
        <f t="shared" si="4"/>
        <v>17.322602777106852</v>
      </c>
      <c r="X12" s="8">
        <f t="shared" si="5"/>
        <v>18.146677642836899</v>
      </c>
      <c r="Y12" s="6">
        <f t="shared" si="6"/>
        <v>15.284123705092385</v>
      </c>
      <c r="Z12" s="6">
        <f t="shared" si="7"/>
        <v>2.0384790720144634</v>
      </c>
      <c r="AA12" s="6"/>
      <c r="AB12" s="9"/>
      <c r="AC12" s="6">
        <f t="shared" si="8"/>
        <v>1.117648424647478</v>
      </c>
      <c r="AD12" s="6">
        <f t="shared" si="9"/>
        <v>7.4978075148882084</v>
      </c>
      <c r="AE12" s="6"/>
      <c r="AF12" s="6"/>
      <c r="AG12" s="10">
        <f t="shared" si="10"/>
        <v>2.8342526537236424E-4</v>
      </c>
      <c r="AH12" s="10">
        <f t="shared" si="11"/>
        <v>2.3005118128371211E-4</v>
      </c>
      <c r="AI12" s="10">
        <f t="shared" si="12"/>
        <v>2.5904773668210257E-3</v>
      </c>
      <c r="AJ12" s="10">
        <f t="shared" si="13"/>
        <v>4.1164612467851193E-3</v>
      </c>
      <c r="AK12" s="10">
        <f t="shared" si="14"/>
        <v>7.7293745002135865E-3</v>
      </c>
      <c r="AL12" s="10">
        <f t="shared" si="15"/>
        <v>1.1808521549457898E-2</v>
      </c>
      <c r="AM12" s="10">
        <f t="shared" si="16"/>
        <v>5.6443483954112788E-3</v>
      </c>
    </row>
    <row r="13" spans="1:39">
      <c r="A13" s="1" t="s">
        <v>149</v>
      </c>
      <c r="B13" s="2">
        <v>2810.88</v>
      </c>
      <c r="C13" s="12">
        <v>2810.9050000000002</v>
      </c>
      <c r="D13" s="12">
        <v>-1235.1050000000002</v>
      </c>
      <c r="E13" s="12">
        <v>90.005000000000294</v>
      </c>
      <c r="F13" s="12" t="s">
        <v>230</v>
      </c>
      <c r="G13" s="12" t="s">
        <v>150</v>
      </c>
      <c r="H13" s="12" t="s">
        <v>218</v>
      </c>
      <c r="I13" s="2" t="s">
        <v>192</v>
      </c>
      <c r="J13" s="8">
        <v>0.21465082050189141</v>
      </c>
      <c r="K13" s="8">
        <v>0.13213037215381501</v>
      </c>
      <c r="L13" s="8">
        <v>2.30644024311774</v>
      </c>
      <c r="M13" s="8">
        <v>0.88079519213811641</v>
      </c>
      <c r="N13" s="8">
        <v>10.754963638789659</v>
      </c>
      <c r="O13" s="8">
        <v>8.998591021541845</v>
      </c>
      <c r="P13" s="8">
        <v>0.30437325305981811</v>
      </c>
      <c r="S13" s="6">
        <f t="shared" si="0"/>
        <v>19.753554660331503</v>
      </c>
      <c r="T13" s="6">
        <f t="shared" si="1"/>
        <v>20.057927913391321</v>
      </c>
      <c r="U13" s="6">
        <f t="shared" si="2"/>
        <v>20.634349852469619</v>
      </c>
      <c r="V13" s="6">
        <f t="shared" si="3"/>
        <v>20.938723105529437</v>
      </c>
      <c r="W13" s="8">
        <f t="shared" si="4"/>
        <v>23.287571288243068</v>
      </c>
      <c r="X13" s="8">
        <f t="shared" si="5"/>
        <v>23.591944541302887</v>
      </c>
      <c r="Y13" s="6">
        <f t="shared" si="6"/>
        <v>20.634349852469619</v>
      </c>
      <c r="Z13" s="6">
        <f t="shared" si="7"/>
        <v>2.6532214357734465</v>
      </c>
      <c r="AA13" s="6"/>
      <c r="AB13" s="9"/>
      <c r="AC13" s="6">
        <f t="shared" si="8"/>
        <v>1.1951830695542458</v>
      </c>
      <c r="AD13" s="6">
        <f t="shared" si="9"/>
        <v>7.7770929988187936</v>
      </c>
      <c r="AE13" s="6"/>
      <c r="AF13" s="6"/>
      <c r="AG13" s="10">
        <f t="shared" si="10"/>
        <v>4.4166835494216338E-4</v>
      </c>
      <c r="AH13" s="10">
        <f t="shared" si="11"/>
        <v>2.8112845139109579E-4</v>
      </c>
      <c r="AI13" s="10">
        <f t="shared" si="12"/>
        <v>3.3330061316730348E-3</v>
      </c>
      <c r="AJ13" s="10">
        <f t="shared" si="13"/>
        <v>6.2467744123270667E-3</v>
      </c>
      <c r="AK13" s="10">
        <f t="shared" si="14"/>
        <v>1.0712115178077349E-2</v>
      </c>
      <c r="AL13" s="10">
        <f t="shared" si="15"/>
        <v>1.530372622711198E-2</v>
      </c>
      <c r="AM13" s="10">
        <f t="shared" si="16"/>
        <v>2.0847483086288911E-3</v>
      </c>
    </row>
    <row r="14" spans="1:39">
      <c r="A14" s="1" t="s">
        <v>151</v>
      </c>
      <c r="B14" s="2">
        <v>2815.58</v>
      </c>
      <c r="C14" s="12">
        <v>2815.63</v>
      </c>
      <c r="D14" s="12">
        <v>-1239.8300000000002</v>
      </c>
      <c r="E14" s="12">
        <v>94.730000000000203</v>
      </c>
      <c r="F14" s="12" t="s">
        <v>230</v>
      </c>
      <c r="G14" s="12" t="s">
        <v>152</v>
      </c>
      <c r="H14" s="12" t="s">
        <v>215</v>
      </c>
      <c r="I14" s="2" t="s">
        <v>192</v>
      </c>
      <c r="J14" s="8">
        <v>0.19719876436869557</v>
      </c>
      <c r="K14" s="8">
        <v>7.3299085213514137E-2</v>
      </c>
      <c r="L14" s="8">
        <v>1.0884912626085299</v>
      </c>
      <c r="M14" s="8">
        <v>0.37895914778341155</v>
      </c>
      <c r="N14" s="8">
        <v>6.2747231689456475</v>
      </c>
      <c r="O14" s="8">
        <v>5.6078410179724125</v>
      </c>
      <c r="P14" s="8">
        <v>0.22851949016883516</v>
      </c>
      <c r="S14" s="6">
        <f t="shared" si="0"/>
        <v>11.88256418691806</v>
      </c>
      <c r="T14" s="6">
        <f t="shared" si="1"/>
        <v>12.111083677086896</v>
      </c>
      <c r="U14" s="6">
        <f t="shared" si="2"/>
        <v>12.261523334701472</v>
      </c>
      <c r="V14" s="6">
        <f t="shared" si="3"/>
        <v>12.490042824870308</v>
      </c>
      <c r="W14" s="8">
        <f t="shared" si="4"/>
        <v>13.62051244689221</v>
      </c>
      <c r="X14" s="8">
        <f t="shared" si="5"/>
        <v>13.849031937061046</v>
      </c>
      <c r="Y14" s="6">
        <f t="shared" si="6"/>
        <v>12.261523334701472</v>
      </c>
      <c r="Z14" s="6">
        <f t="shared" si="7"/>
        <v>1.3589891121907396</v>
      </c>
      <c r="AA14" s="6"/>
      <c r="AB14" s="9"/>
      <c r="AC14" s="6">
        <f t="shared" si="8"/>
        <v>1.1189195893456971</v>
      </c>
      <c r="AD14" s="6">
        <f t="shared" si="9"/>
        <v>9.0225324284868282</v>
      </c>
      <c r="AE14" s="6"/>
      <c r="AF14" s="6"/>
      <c r="AG14" s="10">
        <f t="shared" si="10"/>
        <v>4.0575877442118428E-4</v>
      </c>
      <c r="AH14" s="10">
        <f t="shared" si="11"/>
        <v>1.559555004542854E-4</v>
      </c>
      <c r="AI14" s="10">
        <f t="shared" si="12"/>
        <v>1.5729642523244652E-3</v>
      </c>
      <c r="AJ14" s="10">
        <f t="shared" si="13"/>
        <v>2.6876535303788055E-3</v>
      </c>
      <c r="AK14" s="10">
        <f t="shared" si="14"/>
        <v>6.2497242718582147E-3</v>
      </c>
      <c r="AL14" s="10">
        <f t="shared" si="15"/>
        <v>9.5371445883884569E-3</v>
      </c>
      <c r="AM14" s="10">
        <f t="shared" si="16"/>
        <v>1.5652019874577751E-3</v>
      </c>
    </row>
    <row r="15" spans="1:39">
      <c r="A15" s="1" t="s">
        <v>153</v>
      </c>
      <c r="B15" s="2">
        <v>2825.8150000000001</v>
      </c>
      <c r="C15" s="12">
        <v>2825.8150000000001</v>
      </c>
      <c r="D15" s="12">
        <v>-1250.0150000000001</v>
      </c>
      <c r="E15" s="12" t="s">
        <v>268</v>
      </c>
      <c r="F15" s="12" t="s">
        <v>230</v>
      </c>
      <c r="G15" s="12" t="s">
        <v>202</v>
      </c>
      <c r="H15" s="12" t="s">
        <v>219</v>
      </c>
      <c r="I15" s="2" t="s">
        <v>199</v>
      </c>
      <c r="J15" s="8">
        <v>2.4696771302589599E-2</v>
      </c>
      <c r="K15" s="8">
        <v>4.6928050661959E-2</v>
      </c>
      <c r="L15" s="8">
        <v>0.29443885058424402</v>
      </c>
      <c r="M15" s="8">
        <v>0.106453228002856</v>
      </c>
      <c r="N15" s="8">
        <v>18.252042301470485</v>
      </c>
      <c r="O15" s="8">
        <v>5.10334769757542</v>
      </c>
      <c r="P15" s="8">
        <v>1.3310126868968752</v>
      </c>
      <c r="S15" s="6">
        <f t="shared" si="0"/>
        <v>23.355389999045904</v>
      </c>
      <c r="T15" s="6">
        <f t="shared" si="1"/>
        <v>24.686402685942781</v>
      </c>
      <c r="U15" s="6">
        <f t="shared" si="2"/>
        <v>23.46184322704876</v>
      </c>
      <c r="V15" s="6">
        <f t="shared" si="3"/>
        <v>24.792855913945637</v>
      </c>
      <c r="W15" s="8">
        <f t="shared" si="4"/>
        <v>23.827906899597554</v>
      </c>
      <c r="X15" s="8">
        <f t="shared" si="5"/>
        <v>25.158919586494431</v>
      </c>
      <c r="Y15" s="6">
        <f t="shared" si="6"/>
        <v>23.46184322704876</v>
      </c>
      <c r="Z15" s="6">
        <f t="shared" si="7"/>
        <v>0.36606367254879263</v>
      </c>
      <c r="AA15" s="6"/>
      <c r="AB15" s="9"/>
      <c r="AC15" s="6">
        <f t="shared" si="8"/>
        <v>3.5764841792265023</v>
      </c>
      <c r="AD15" s="6">
        <f t="shared" si="9"/>
        <v>64.092246749563856</v>
      </c>
      <c r="AE15" s="6"/>
      <c r="AF15" s="6"/>
      <c r="AG15" s="10">
        <f t="shared" si="10"/>
        <v>5.0816401857180246E-5</v>
      </c>
      <c r="AH15" s="10">
        <f t="shared" si="11"/>
        <v>9.9846916302040421E-5</v>
      </c>
      <c r="AI15" s="10">
        <f t="shared" si="12"/>
        <v>4.2548966847434107E-4</v>
      </c>
      <c r="AJ15" s="10">
        <f t="shared" si="13"/>
        <v>7.5498743264436883E-4</v>
      </c>
      <c r="AK15" s="10">
        <f t="shared" si="14"/>
        <v>1.8179325001464627E-2</v>
      </c>
      <c r="AL15" s="10">
        <f t="shared" si="15"/>
        <v>8.6791627509786046E-3</v>
      </c>
      <c r="AM15" s="10">
        <f t="shared" si="16"/>
        <v>9.116525252718324E-3</v>
      </c>
    </row>
    <row r="16" spans="1:39">
      <c r="A16" s="1" t="s">
        <v>154</v>
      </c>
      <c r="B16" s="2">
        <v>2840.06</v>
      </c>
      <c r="C16" s="12">
        <v>2840.06</v>
      </c>
      <c r="D16" s="12">
        <v>-1264.26</v>
      </c>
      <c r="E16" s="12">
        <v>116.21000000000004</v>
      </c>
      <c r="F16" s="12" t="s">
        <v>230</v>
      </c>
      <c r="G16" s="12" t="s">
        <v>109</v>
      </c>
      <c r="H16" s="12" t="s">
        <v>220</v>
      </c>
      <c r="I16" s="2" t="s">
        <v>192</v>
      </c>
      <c r="J16" s="8">
        <v>0.18259813961905699</v>
      </c>
      <c r="K16" s="8">
        <v>0.14080058824584299</v>
      </c>
      <c r="L16" s="8">
        <v>1.9445687026974301</v>
      </c>
      <c r="M16" s="8">
        <v>0.1128978088160817</v>
      </c>
      <c r="N16" s="8">
        <v>2.2602622517306377</v>
      </c>
      <c r="O16" s="8">
        <v>2.8181740495064838</v>
      </c>
      <c r="P16" s="8">
        <v>2.1840912532539658</v>
      </c>
      <c r="S16" s="6">
        <f t="shared" si="0"/>
        <v>5.0784363012371214</v>
      </c>
      <c r="T16" s="6">
        <f t="shared" si="1"/>
        <v>7.2625275544910872</v>
      </c>
      <c r="U16" s="6">
        <f t="shared" si="2"/>
        <v>5.1913341100532033</v>
      </c>
      <c r="V16" s="6">
        <f t="shared" si="3"/>
        <v>7.3754253633071691</v>
      </c>
      <c r="W16" s="8">
        <f t="shared" si="4"/>
        <v>7.4593015406155327</v>
      </c>
      <c r="X16" s="8">
        <f t="shared" si="5"/>
        <v>9.6433927938694985</v>
      </c>
      <c r="Y16" s="6">
        <f t="shared" si="6"/>
        <v>5.1913341100532033</v>
      </c>
      <c r="Z16" s="6">
        <f t="shared" si="7"/>
        <v>2.2679674305623303</v>
      </c>
      <c r="AA16" s="6"/>
      <c r="AB16" s="9"/>
      <c r="AC16" s="6">
        <f t="shared" si="8"/>
        <v>0.80203075183608796</v>
      </c>
      <c r="AD16" s="6">
        <f t="shared" si="9"/>
        <v>2.2889808910377694</v>
      </c>
      <c r="AE16" s="6"/>
      <c r="AF16" s="6"/>
      <c r="AG16" s="10">
        <f t="shared" si="10"/>
        <v>3.7571633666472632E-4</v>
      </c>
      <c r="AH16" s="10">
        <f t="shared" si="11"/>
        <v>2.9957571967200635E-4</v>
      </c>
      <c r="AI16" s="10">
        <f t="shared" si="12"/>
        <v>2.8100703796205637E-3</v>
      </c>
      <c r="AJ16" s="10">
        <f t="shared" si="13"/>
        <v>8.006936795466788E-4</v>
      </c>
      <c r="AK16" s="10">
        <f t="shared" si="14"/>
        <v>2.2512572228392804E-3</v>
      </c>
      <c r="AL16" s="10">
        <f t="shared" si="15"/>
        <v>4.7928130093647684E-3</v>
      </c>
      <c r="AM16" s="10">
        <f t="shared" si="16"/>
        <v>1.4959529131876478E-2</v>
      </c>
    </row>
    <row r="17" spans="1:39">
      <c r="A17" s="1" t="s">
        <v>155</v>
      </c>
      <c r="B17" s="2">
        <v>2850.33</v>
      </c>
      <c r="C17" s="12">
        <v>2850.38</v>
      </c>
      <c r="D17" s="12">
        <v>-1274.5800000000002</v>
      </c>
      <c r="E17" s="12">
        <v>126.5300000000002</v>
      </c>
      <c r="F17" s="12" t="s">
        <v>230</v>
      </c>
      <c r="G17" s="12" t="s">
        <v>156</v>
      </c>
      <c r="H17" s="12" t="s">
        <v>221</v>
      </c>
      <c r="I17" s="2" t="s">
        <v>192</v>
      </c>
      <c r="J17" s="8">
        <v>8.9435750385553556E-2</v>
      </c>
      <c r="K17" s="8">
        <v>8.5186229200938185E-2</v>
      </c>
      <c r="L17" s="8">
        <v>1.2042994266346401</v>
      </c>
      <c r="M17" s="8">
        <v>0.43731462663308696</v>
      </c>
      <c r="N17" s="8">
        <v>20.897053351724473</v>
      </c>
      <c r="O17" s="8">
        <v>27.08056272043299</v>
      </c>
      <c r="P17" s="8">
        <v>2.1423390180778563</v>
      </c>
      <c r="S17" s="6">
        <f t="shared" si="0"/>
        <v>47.97761607215746</v>
      </c>
      <c r="T17" s="6">
        <f t="shared" si="1"/>
        <v>50.119955090235315</v>
      </c>
      <c r="U17" s="6">
        <f t="shared" si="2"/>
        <v>48.414930698790549</v>
      </c>
      <c r="V17" s="6">
        <f t="shared" si="3"/>
        <v>50.557269716868404</v>
      </c>
      <c r="W17" s="8">
        <f t="shared" si="4"/>
        <v>49.79385210501168</v>
      </c>
      <c r="X17" s="8">
        <f t="shared" si="5"/>
        <v>51.936191123089536</v>
      </c>
      <c r="Y17" s="6">
        <f t="shared" si="6"/>
        <v>48.414930698790549</v>
      </c>
      <c r="Z17" s="6">
        <f t="shared" si="7"/>
        <v>1.3789214062211319</v>
      </c>
      <c r="AA17" s="6"/>
      <c r="AB17" s="9"/>
      <c r="AC17" s="6">
        <f t="shared" si="8"/>
        <v>0.77166244909516235</v>
      </c>
      <c r="AD17" s="6">
        <f t="shared" si="9"/>
        <v>35.110725296135151</v>
      </c>
      <c r="AE17" s="6"/>
      <c r="AF17" s="6"/>
      <c r="AG17" s="10">
        <f t="shared" si="10"/>
        <v>1.8402417774805258E-4</v>
      </c>
      <c r="AH17" s="10">
        <f t="shared" si="11"/>
        <v>1.812472961722089E-4</v>
      </c>
      <c r="AI17" s="10">
        <f t="shared" si="12"/>
        <v>1.7403170905124856E-3</v>
      </c>
      <c r="AJ17" s="10">
        <f t="shared" si="13"/>
        <v>3.1015221747027442E-3</v>
      </c>
      <c r="AK17" s="10">
        <f t="shared" si="14"/>
        <v>2.0813798159088119E-2</v>
      </c>
      <c r="AL17" s="10">
        <f t="shared" si="15"/>
        <v>4.6055378776246582E-2</v>
      </c>
      <c r="AM17" s="10">
        <f t="shared" si="16"/>
        <v>1.4673554918341481E-2</v>
      </c>
    </row>
    <row r="18" spans="1:39">
      <c r="A18" s="1" t="s">
        <v>157</v>
      </c>
      <c r="B18" s="2">
        <v>2861.2950000000001</v>
      </c>
      <c r="C18" s="12">
        <v>2861.2950000000001</v>
      </c>
      <c r="D18" s="12">
        <v>-1285.4950000000001</v>
      </c>
      <c r="E18" s="12">
        <v>137.44999999999999</v>
      </c>
      <c r="F18" s="12" t="s">
        <v>230</v>
      </c>
      <c r="G18" s="12" t="s">
        <v>203</v>
      </c>
      <c r="H18" s="12" t="s">
        <v>216</v>
      </c>
      <c r="I18" s="2" t="s">
        <v>199</v>
      </c>
      <c r="J18" s="8">
        <v>0.15859657989585699</v>
      </c>
      <c r="K18" s="8">
        <v>0.51917290015439477</v>
      </c>
      <c r="L18" s="8">
        <v>1.3324918175674823</v>
      </c>
      <c r="M18" s="8">
        <v>1.3164637500651934</v>
      </c>
      <c r="N18" s="8">
        <v>136.53941515942699</v>
      </c>
      <c r="O18" s="8">
        <v>52.023628714427097</v>
      </c>
      <c r="P18" s="8">
        <v>10.221285952728547</v>
      </c>
      <c r="S18" s="6">
        <f t="shared" si="0"/>
        <v>188.5630438738541</v>
      </c>
      <c r="T18" s="6">
        <f t="shared" si="1"/>
        <v>198.78432982658265</v>
      </c>
      <c r="U18" s="6">
        <f t="shared" si="2"/>
        <v>189.8795076239193</v>
      </c>
      <c r="V18" s="6">
        <f t="shared" si="3"/>
        <v>200.10079357664785</v>
      </c>
      <c r="W18" s="8">
        <f t="shared" si="4"/>
        <v>191.88976892153704</v>
      </c>
      <c r="X18" s="8">
        <f t="shared" si="5"/>
        <v>202.11105487426559</v>
      </c>
      <c r="Y18" s="6">
        <f t="shared" si="6"/>
        <v>189.8795076239193</v>
      </c>
      <c r="Z18" s="6">
        <f t="shared" si="7"/>
        <v>2.0102612976177339</v>
      </c>
      <c r="AA18" s="6"/>
      <c r="AB18" s="9"/>
      <c r="AC18" s="6">
        <f t="shared" si="8"/>
        <v>2.6245653856429692</v>
      </c>
      <c r="AD18" s="6">
        <f t="shared" si="9"/>
        <v>94.455137672369545</v>
      </c>
      <c r="AE18" s="6"/>
      <c r="AF18" s="6"/>
      <c r="AG18" s="10">
        <f t="shared" si="10"/>
        <v>3.2633041130834773E-4</v>
      </c>
      <c r="AH18" s="10">
        <f t="shared" si="11"/>
        <v>1.1046231918178612E-3</v>
      </c>
      <c r="AI18" s="10">
        <f t="shared" si="12"/>
        <v>1.9255662103576333E-3</v>
      </c>
      <c r="AJ18" s="10">
        <f t="shared" si="13"/>
        <v>9.3366223408878971E-3</v>
      </c>
      <c r="AK18" s="10">
        <f t="shared" si="14"/>
        <v>0.13599543342572409</v>
      </c>
      <c r="AL18" s="10">
        <f t="shared" si="15"/>
        <v>8.8475559038141319E-2</v>
      </c>
      <c r="AM18" s="10">
        <f t="shared" si="16"/>
        <v>7.000880789540101E-2</v>
      </c>
    </row>
    <row r="19" spans="1:39">
      <c r="A19" s="1" t="s">
        <v>158</v>
      </c>
      <c r="B19" s="2">
        <v>2866.5749999999998</v>
      </c>
      <c r="C19" s="12">
        <v>2866.5749999999998</v>
      </c>
      <c r="D19" s="12">
        <v>-1290.7749999999999</v>
      </c>
      <c r="E19" s="12" t="s">
        <v>268</v>
      </c>
      <c r="F19" s="12" t="s">
        <v>230</v>
      </c>
      <c r="G19" s="12" t="s">
        <v>20</v>
      </c>
      <c r="H19" s="12" t="s">
        <v>214</v>
      </c>
      <c r="I19" s="2" t="s">
        <v>199</v>
      </c>
      <c r="J19" s="8">
        <v>2.9631183169751999E-2</v>
      </c>
      <c r="K19" s="8">
        <v>3.39888557457E-2</v>
      </c>
      <c r="L19" s="8">
        <v>0.69206025863592591</v>
      </c>
      <c r="M19" s="8">
        <v>0.22032962517416713</v>
      </c>
      <c r="N19" s="8">
        <v>27.058023454624927</v>
      </c>
      <c r="O19" s="8">
        <v>1.4416588021462979</v>
      </c>
      <c r="P19" s="8">
        <v>1.4200966409921811</v>
      </c>
      <c r="S19" s="6">
        <f t="shared" si="0"/>
        <v>28.499682256771223</v>
      </c>
      <c r="T19" s="6">
        <f t="shared" si="1"/>
        <v>29.919778897763404</v>
      </c>
      <c r="U19" s="6">
        <f t="shared" si="2"/>
        <v>28.720011881945389</v>
      </c>
      <c r="V19" s="6">
        <f t="shared" si="3"/>
        <v>30.14010852293757</v>
      </c>
      <c r="W19" s="8">
        <f t="shared" si="4"/>
        <v>29.475692179496768</v>
      </c>
      <c r="X19" s="8">
        <f t="shared" si="5"/>
        <v>30.895788820488949</v>
      </c>
      <c r="Y19" s="6">
        <f t="shared" si="6"/>
        <v>28.720011881945389</v>
      </c>
      <c r="Z19" s="6">
        <f t="shared" si="7"/>
        <v>0.75568029755137789</v>
      </c>
      <c r="AA19" s="6"/>
      <c r="AB19" s="9"/>
      <c r="AC19" s="6">
        <f t="shared" si="8"/>
        <v>18.76867356849052</v>
      </c>
      <c r="AD19" s="6">
        <f t="shared" si="9"/>
        <v>38.005505734378033</v>
      </c>
      <c r="AE19" s="6"/>
      <c r="AF19" s="6"/>
      <c r="AG19" s="10">
        <f t="shared" si="10"/>
        <v>6.096951269496296E-5</v>
      </c>
      <c r="AH19" s="10">
        <f t="shared" si="11"/>
        <v>7.2316714352553188E-5</v>
      </c>
      <c r="AI19" s="10">
        <f t="shared" si="12"/>
        <v>1.0000870789536502E-3</v>
      </c>
      <c r="AJ19" s="10">
        <f t="shared" si="13"/>
        <v>1.5626214551359371E-3</v>
      </c>
      <c r="AK19" s="10">
        <f t="shared" si="14"/>
        <v>2.6950222564367458E-2</v>
      </c>
      <c r="AL19" s="10">
        <f t="shared" si="15"/>
        <v>2.4518006839222752E-3</v>
      </c>
      <c r="AM19" s="10">
        <f t="shared" si="16"/>
        <v>9.7266893218642542E-3</v>
      </c>
    </row>
    <row r="20" spans="1:39">
      <c r="A20" s="1" t="s">
        <v>159</v>
      </c>
      <c r="B20" s="2">
        <v>2877.77</v>
      </c>
      <c r="C20" s="12">
        <v>2877.77</v>
      </c>
      <c r="D20" s="12">
        <v>-1301.97</v>
      </c>
      <c r="E20" s="12" t="s">
        <v>268</v>
      </c>
      <c r="F20" s="12" t="s">
        <v>230</v>
      </c>
      <c r="G20" s="12" t="s">
        <v>202</v>
      </c>
      <c r="H20" s="12" t="s">
        <v>222</v>
      </c>
      <c r="I20" s="2" t="s">
        <v>199</v>
      </c>
      <c r="J20" s="8">
        <v>3.3396816395034001E-2</v>
      </c>
      <c r="K20" s="8">
        <v>6.4389246438300005E-2</v>
      </c>
      <c r="L20" s="8">
        <v>1.0161578364353034</v>
      </c>
      <c r="M20" s="8">
        <v>0.32613271193177457</v>
      </c>
      <c r="N20" s="8">
        <v>54.800445740384127</v>
      </c>
      <c r="O20" s="8">
        <v>2.5659280241180111</v>
      </c>
      <c r="P20" s="8">
        <v>5.4063609981455727</v>
      </c>
      <c r="S20" s="6">
        <f t="shared" si="0"/>
        <v>57.366373764502136</v>
      </c>
      <c r="T20" s="6">
        <f t="shared" si="1"/>
        <v>62.772734762647708</v>
      </c>
      <c r="U20" s="6">
        <f t="shared" si="2"/>
        <v>57.692506476433913</v>
      </c>
      <c r="V20" s="6">
        <f t="shared" si="3"/>
        <v>63.098867474579485</v>
      </c>
      <c r="W20" s="8">
        <f t="shared" si="4"/>
        <v>58.806450375702546</v>
      </c>
      <c r="X20" s="8">
        <f t="shared" si="5"/>
        <v>64.212811373848126</v>
      </c>
      <c r="Y20" s="6">
        <f t="shared" si="6"/>
        <v>57.692506476433913</v>
      </c>
      <c r="Z20" s="6">
        <f t="shared" si="7"/>
        <v>1.1139438992686375</v>
      </c>
      <c r="AA20" s="6"/>
      <c r="AB20" s="9"/>
      <c r="AC20" s="6">
        <f t="shared" si="8"/>
        <v>21.356969184363905</v>
      </c>
      <c r="AD20" s="6">
        <f t="shared" si="9"/>
        <v>51.791213645778811</v>
      </c>
      <c r="AE20" s="6"/>
      <c r="AF20" s="6"/>
      <c r="AG20" s="10">
        <f t="shared" si="10"/>
        <v>6.8717729207888896E-5</v>
      </c>
      <c r="AH20" s="10">
        <f t="shared" si="11"/>
        <v>1.3699839667723405E-4</v>
      </c>
      <c r="AI20" s="10">
        <f t="shared" si="12"/>
        <v>1.4684361798198028E-3</v>
      </c>
      <c r="AJ20" s="10">
        <f t="shared" si="13"/>
        <v>2.3129979569629401E-3</v>
      </c>
      <c r="AK20" s="10">
        <f t="shared" si="14"/>
        <v>5.4582117271298934E-2</v>
      </c>
      <c r="AL20" s="10">
        <f t="shared" si="15"/>
        <v>4.3638231702687264E-3</v>
      </c>
      <c r="AM20" s="10">
        <f t="shared" si="16"/>
        <v>3.702986985031214E-2</v>
      </c>
    </row>
    <row r="21" spans="1:39">
      <c r="A21" s="1" t="s">
        <v>160</v>
      </c>
      <c r="B21" s="2">
        <v>2887.69</v>
      </c>
      <c r="C21" s="12">
        <v>2887.7</v>
      </c>
      <c r="D21" s="12">
        <v>-1311.8999999999999</v>
      </c>
      <c r="E21" s="12">
        <v>149.24</v>
      </c>
      <c r="F21" s="12" t="s">
        <v>230</v>
      </c>
      <c r="G21" s="12" t="s">
        <v>161</v>
      </c>
      <c r="H21" s="12" t="s">
        <v>136</v>
      </c>
      <c r="I21" s="2" t="s">
        <v>192</v>
      </c>
      <c r="J21" s="8">
        <v>3.6820294717933764E-2</v>
      </c>
      <c r="K21" s="8">
        <v>6.8911018161656748E-2</v>
      </c>
      <c r="L21" s="8">
        <v>0.60596177549250996</v>
      </c>
      <c r="M21" s="8">
        <v>0.40860245726597794</v>
      </c>
      <c r="N21" s="8">
        <v>4.0821933736402887</v>
      </c>
      <c r="O21" s="8">
        <v>5.2932183111824704</v>
      </c>
      <c r="P21" s="8">
        <v>0.53454018373135936</v>
      </c>
      <c r="S21" s="6">
        <f t="shared" si="0"/>
        <v>9.3754116848227582</v>
      </c>
      <c r="T21" s="6">
        <f t="shared" si="1"/>
        <v>9.909951868554117</v>
      </c>
      <c r="U21" s="6">
        <f t="shared" si="2"/>
        <v>9.7840141420887363</v>
      </c>
      <c r="V21" s="6">
        <f t="shared" si="3"/>
        <v>10.318554325820095</v>
      </c>
      <c r="W21" s="8">
        <f t="shared" si="4"/>
        <v>10.495707230460837</v>
      </c>
      <c r="X21" s="8">
        <f t="shared" si="5"/>
        <v>11.030247414192196</v>
      </c>
      <c r="Y21" s="6">
        <f t="shared" si="6"/>
        <v>9.7840141420887363</v>
      </c>
      <c r="Z21" s="6">
        <f t="shared" si="7"/>
        <v>0.71169308837210044</v>
      </c>
      <c r="AA21" s="6"/>
      <c r="AB21" s="9"/>
      <c r="AC21" s="6">
        <f t="shared" si="8"/>
        <v>0.7712119798679441</v>
      </c>
      <c r="AD21" s="6">
        <f t="shared" si="9"/>
        <v>13.747518841960819</v>
      </c>
      <c r="AE21" s="6"/>
      <c r="AF21" s="6"/>
      <c r="AG21" s="10">
        <f t="shared" si="10"/>
        <v>7.5761923287929558E-5</v>
      </c>
      <c r="AH21" s="10">
        <f t="shared" si="11"/>
        <v>1.4661918757799308E-4</v>
      </c>
      <c r="AI21" s="10">
        <f t="shared" si="12"/>
        <v>8.7566730562501434E-4</v>
      </c>
      <c r="AJ21" s="10">
        <f t="shared" si="13"/>
        <v>2.8978897678438153E-3</v>
      </c>
      <c r="AK21" s="10">
        <f t="shared" si="14"/>
        <v>4.0659296550202076E-3</v>
      </c>
      <c r="AL21" s="10">
        <f t="shared" si="15"/>
        <v>9.0020719577933173E-3</v>
      </c>
      <c r="AM21" s="10">
        <f t="shared" si="16"/>
        <v>3.6612341351462971E-3</v>
      </c>
    </row>
    <row r="22" spans="1:39">
      <c r="A22" s="1" t="s">
        <v>162</v>
      </c>
      <c r="B22" s="2">
        <v>2888.01</v>
      </c>
      <c r="C22" s="12">
        <v>2888.01</v>
      </c>
      <c r="D22" s="12">
        <v>-1312.2100000000003</v>
      </c>
      <c r="E22" s="12">
        <v>149.5500000000003</v>
      </c>
      <c r="F22" s="12" t="s">
        <v>230</v>
      </c>
      <c r="G22" s="12" t="s">
        <v>204</v>
      </c>
      <c r="H22" s="12" t="s">
        <v>30</v>
      </c>
      <c r="I22" s="2" t="s">
        <v>199</v>
      </c>
      <c r="J22" s="8">
        <v>0.10694582341125483</v>
      </c>
      <c r="K22" s="8">
        <v>0.10895081874275811</v>
      </c>
      <c r="L22" s="8">
        <v>1.8550155950552636</v>
      </c>
      <c r="M22" s="8">
        <v>0.6330816265078052</v>
      </c>
      <c r="N22" s="8">
        <v>5.8033301802835195</v>
      </c>
      <c r="O22" s="8">
        <v>4.4472449606886597</v>
      </c>
      <c r="P22" s="8">
        <v>3.2388744322756513</v>
      </c>
      <c r="S22" s="6">
        <f t="shared" si="0"/>
        <v>10.250575140972179</v>
      </c>
      <c r="T22" s="6">
        <f t="shared" si="1"/>
        <v>13.48944957324783</v>
      </c>
      <c r="U22" s="6">
        <f t="shared" si="2"/>
        <v>10.883656767479984</v>
      </c>
      <c r="V22" s="6">
        <f t="shared" si="3"/>
        <v>14.122531199755635</v>
      </c>
      <c r="W22" s="8">
        <f t="shared" si="4"/>
        <v>12.954569004689262</v>
      </c>
      <c r="X22" s="8">
        <f t="shared" si="5"/>
        <v>16.193443436964913</v>
      </c>
      <c r="Y22" s="6">
        <f t="shared" si="6"/>
        <v>10.883656767479984</v>
      </c>
      <c r="Z22" s="6">
        <f t="shared" si="7"/>
        <v>2.0709122372092765</v>
      </c>
      <c r="AA22" s="6"/>
      <c r="AB22" s="9"/>
      <c r="AC22" s="6">
        <f t="shared" si="8"/>
        <v>1.304927034958036</v>
      </c>
      <c r="AD22" s="6">
        <f t="shared" si="9"/>
        <v>5.2554891375535071</v>
      </c>
      <c r="AE22" s="6"/>
      <c r="AF22" s="6"/>
      <c r="AG22" s="10">
        <f t="shared" si="10"/>
        <v>2.2005313459105933E-4</v>
      </c>
      <c r="AH22" s="10">
        <f t="shared" si="11"/>
        <v>2.3181025264416619E-4</v>
      </c>
      <c r="AI22" s="10">
        <f t="shared" si="12"/>
        <v>2.6806583743573175E-3</v>
      </c>
      <c r="AJ22" s="10">
        <f t="shared" si="13"/>
        <v>4.4899406135305332E-3</v>
      </c>
      <c r="AK22" s="10">
        <f t="shared" si="14"/>
        <v>5.7802093429118722E-3</v>
      </c>
      <c r="AL22" s="10">
        <f t="shared" si="15"/>
        <v>7.5633417698786733E-3</v>
      </c>
      <c r="AM22" s="10">
        <f t="shared" si="16"/>
        <v>2.2184071453942817E-2</v>
      </c>
    </row>
    <row r="23" spans="1:39">
      <c r="A23" s="1" t="s">
        <v>163</v>
      </c>
      <c r="B23" s="2">
        <v>2894.23</v>
      </c>
      <c r="C23" s="12">
        <v>2894.23</v>
      </c>
      <c r="D23" s="12">
        <v>-1318.43</v>
      </c>
      <c r="E23" s="12" t="s">
        <v>268</v>
      </c>
      <c r="F23" s="12" t="s">
        <v>230</v>
      </c>
      <c r="G23" s="12" t="s">
        <v>20</v>
      </c>
      <c r="H23" s="12" t="s">
        <v>214</v>
      </c>
      <c r="I23" s="2" t="s">
        <v>199</v>
      </c>
      <c r="J23" s="8">
        <v>2.7269497024532002E-2</v>
      </c>
      <c r="K23" s="8">
        <v>7.2422540260203602E-2</v>
      </c>
      <c r="L23" s="8">
        <v>1.0384044441153766</v>
      </c>
      <c r="M23" s="8">
        <v>0.32409800371815745</v>
      </c>
      <c r="N23" s="8">
        <v>59.959716166626315</v>
      </c>
      <c r="O23" s="8">
        <v>4.5638977609379596</v>
      </c>
      <c r="P23" s="8">
        <v>6.8404073841406792</v>
      </c>
      <c r="S23" s="6">
        <f t="shared" si="0"/>
        <v>64.52361392756427</v>
      </c>
      <c r="T23" s="6">
        <f t="shared" si="1"/>
        <v>71.364021311704946</v>
      </c>
      <c r="U23" s="6">
        <f t="shared" si="2"/>
        <v>64.847711931282433</v>
      </c>
      <c r="V23" s="6">
        <f t="shared" si="3"/>
        <v>71.688119315423108</v>
      </c>
      <c r="W23" s="8">
        <f t="shared" si="4"/>
        <v>65.985808412682545</v>
      </c>
      <c r="X23" s="8">
        <f t="shared" si="5"/>
        <v>72.82621579682322</v>
      </c>
      <c r="Y23" s="6">
        <f t="shared" si="6"/>
        <v>64.847711931282433</v>
      </c>
      <c r="Z23" s="6">
        <f t="shared" si="7"/>
        <v>1.1380964814001122</v>
      </c>
      <c r="AA23" s="6"/>
      <c r="AB23" s="9"/>
      <c r="AC23" s="6">
        <f t="shared" si="8"/>
        <v>13.137830711243531</v>
      </c>
      <c r="AD23" s="6">
        <f t="shared" si="9"/>
        <v>56.979098864716022</v>
      </c>
      <c r="AE23" s="6"/>
      <c r="AF23" s="6"/>
      <c r="AG23" s="10">
        <f t="shared" si="10"/>
        <v>5.6110076182164611E-5</v>
      </c>
      <c r="AH23" s="10">
        <f t="shared" si="11"/>
        <v>1.5409051119192257E-4</v>
      </c>
      <c r="AI23" s="10">
        <f t="shared" si="12"/>
        <v>1.5005844568141281E-3</v>
      </c>
      <c r="AJ23" s="10">
        <f t="shared" si="13"/>
        <v>2.2985674022564357E-3</v>
      </c>
      <c r="AK23" s="10">
        <f t="shared" si="14"/>
        <v>5.9720832835285176E-2</v>
      </c>
      <c r="AL23" s="10">
        <f t="shared" si="15"/>
        <v>7.7617308859489111E-3</v>
      </c>
      <c r="AM23" s="10">
        <f t="shared" si="16"/>
        <v>4.6852105370826569E-2</v>
      </c>
    </row>
    <row r="24" spans="1:39">
      <c r="A24" s="1" t="s">
        <v>164</v>
      </c>
      <c r="B24" s="2">
        <v>2900.02</v>
      </c>
      <c r="C24" s="12">
        <v>2900.02</v>
      </c>
      <c r="D24" s="12">
        <v>-1324.22</v>
      </c>
      <c r="E24" s="12">
        <v>161.56000000000006</v>
      </c>
      <c r="F24" s="12" t="s">
        <v>230</v>
      </c>
      <c r="G24" s="12" t="s">
        <v>109</v>
      </c>
      <c r="H24" s="12" t="s">
        <v>223</v>
      </c>
      <c r="I24" s="2" t="s">
        <v>192</v>
      </c>
      <c r="J24" s="8">
        <v>0.17063219524872941</v>
      </c>
      <c r="K24" s="8">
        <v>0.1086852093620695</v>
      </c>
      <c r="L24" s="8">
        <v>2.1448235369033002</v>
      </c>
      <c r="M24" s="8">
        <v>0.63489312774239526</v>
      </c>
      <c r="N24" s="8">
        <v>6.4490218982578833</v>
      </c>
      <c r="O24" s="8">
        <v>6.254204434382407</v>
      </c>
      <c r="P24" s="8">
        <v>0.2940799692625492</v>
      </c>
      <c r="S24" s="6">
        <f t="shared" si="0"/>
        <v>12.703226332640291</v>
      </c>
      <c r="T24" s="6">
        <f t="shared" si="1"/>
        <v>12.997306301902841</v>
      </c>
      <c r="U24" s="6">
        <f t="shared" si="2"/>
        <v>13.338119460382686</v>
      </c>
      <c r="V24" s="6">
        <f t="shared" si="3"/>
        <v>13.632199429645235</v>
      </c>
      <c r="W24" s="8">
        <f t="shared" si="4"/>
        <v>15.762260401896784</v>
      </c>
      <c r="X24" s="8">
        <f t="shared" si="5"/>
        <v>16.056340371159333</v>
      </c>
      <c r="Y24" s="6">
        <f t="shared" si="6"/>
        <v>13.338119460382686</v>
      </c>
      <c r="Z24" s="6">
        <f t="shared" si="7"/>
        <v>2.4241409415140991</v>
      </c>
      <c r="AA24" s="6"/>
      <c r="AB24" s="9"/>
      <c r="AC24" s="6">
        <f t="shared" si="8"/>
        <v>1.0311498394271332</v>
      </c>
      <c r="AD24" s="6">
        <f t="shared" si="9"/>
        <v>5.5022046086362462</v>
      </c>
      <c r="AE24" s="6"/>
      <c r="AF24" s="6"/>
      <c r="AG24" s="10">
        <f t="shared" si="10"/>
        <v>3.5109505195211812E-4</v>
      </c>
      <c r="AH24" s="10">
        <f t="shared" si="11"/>
        <v>2.3124512630227554E-4</v>
      </c>
      <c r="AI24" s="10">
        <f t="shared" si="12"/>
        <v>3.0994559781839597E-3</v>
      </c>
      <c r="AJ24" s="10">
        <f t="shared" si="13"/>
        <v>4.5027881400169873E-3</v>
      </c>
      <c r="AK24" s="10">
        <f t="shared" si="14"/>
        <v>6.4233285839221943E-3</v>
      </c>
      <c r="AL24" s="10">
        <f t="shared" si="15"/>
        <v>1.0636402099289809E-2</v>
      </c>
      <c r="AM24" s="10">
        <f t="shared" si="16"/>
        <v>2.0142463648119809E-3</v>
      </c>
    </row>
    <row r="25" spans="1:39">
      <c r="A25" s="1" t="s">
        <v>165</v>
      </c>
      <c r="B25" s="2">
        <v>2915.78</v>
      </c>
      <c r="C25" s="12">
        <v>2915.78</v>
      </c>
      <c r="D25" s="12">
        <v>-1339.9800000000002</v>
      </c>
      <c r="E25" s="12">
        <v>177.32000000000028</v>
      </c>
      <c r="F25" s="12" t="s">
        <v>230</v>
      </c>
      <c r="G25" s="12" t="s">
        <v>109</v>
      </c>
      <c r="H25" s="12" t="s">
        <v>224</v>
      </c>
      <c r="I25" s="2" t="s">
        <v>199</v>
      </c>
      <c r="J25" s="8">
        <v>1.3549373986882683E-2</v>
      </c>
      <c r="K25" s="8">
        <v>3.6620030680153189E-2</v>
      </c>
      <c r="L25" s="8">
        <v>0.31351860926648906</v>
      </c>
      <c r="M25" s="8">
        <v>0.33125933607245978</v>
      </c>
      <c r="N25" s="8">
        <v>122.10205453252154</v>
      </c>
      <c r="O25" s="8">
        <v>11.720925699355485</v>
      </c>
      <c r="P25" s="8">
        <v>8.0673705715784578</v>
      </c>
      <c r="S25" s="6">
        <f t="shared" si="0"/>
        <v>133.82298023187701</v>
      </c>
      <c r="T25" s="6">
        <f t="shared" si="1"/>
        <v>141.89035080345548</v>
      </c>
      <c r="U25" s="6">
        <f t="shared" si="2"/>
        <v>134.15423956794947</v>
      </c>
      <c r="V25" s="6">
        <f t="shared" si="3"/>
        <v>142.22161013952794</v>
      </c>
      <c r="W25" s="8">
        <f t="shared" si="4"/>
        <v>134.51792758188301</v>
      </c>
      <c r="X25" s="8">
        <f t="shared" si="5"/>
        <v>142.58529815346148</v>
      </c>
      <c r="Y25" s="6">
        <f t="shared" si="6"/>
        <v>134.15423956794947</v>
      </c>
      <c r="Z25" s="6">
        <f t="shared" si="7"/>
        <v>0.3636880139335249</v>
      </c>
      <c r="AA25" s="6"/>
      <c r="AB25" s="9"/>
      <c r="AC25" s="6">
        <f t="shared" si="8"/>
        <v>10.417441221322283</v>
      </c>
      <c r="AD25" s="6">
        <f t="shared" si="9"/>
        <v>368.87176488711629</v>
      </c>
      <c r="AE25" s="6"/>
      <c r="AF25" s="6"/>
      <c r="AG25" s="10">
        <f t="shared" si="10"/>
        <v>2.7879370343380005E-5</v>
      </c>
      <c r="AH25" s="10">
        <f t="shared" si="11"/>
        <v>7.7914958893942954E-5</v>
      </c>
      <c r="AI25" s="10">
        <f t="shared" si="12"/>
        <v>4.5306157408452177E-4</v>
      </c>
      <c r="AJ25" s="10">
        <f t="shared" si="13"/>
        <v>2.3493569934217007E-3</v>
      </c>
      <c r="AK25" s="10">
        <f t="shared" si="14"/>
        <v>0.12161559216386607</v>
      </c>
      <c r="AL25" s="10">
        <f t="shared" si="15"/>
        <v>1.9933547107747425E-2</v>
      </c>
      <c r="AM25" s="10">
        <f t="shared" si="16"/>
        <v>5.525596281903053E-2</v>
      </c>
    </row>
    <row r="26" spans="1:39">
      <c r="A26" s="1" t="s">
        <v>166</v>
      </c>
      <c r="B26" s="2">
        <v>2924.21</v>
      </c>
      <c r="C26" s="12">
        <v>2924.27</v>
      </c>
      <c r="D26" s="12">
        <v>-1348.47</v>
      </c>
      <c r="E26" s="12">
        <v>185.81000000000006</v>
      </c>
      <c r="F26" s="12" t="s">
        <v>230</v>
      </c>
      <c r="G26" s="12" t="s">
        <v>109</v>
      </c>
      <c r="H26" s="12" t="s">
        <v>223</v>
      </c>
      <c r="I26" s="2" t="s">
        <v>192</v>
      </c>
      <c r="J26" s="8">
        <v>0.10799553676783689</v>
      </c>
      <c r="K26" s="8">
        <v>6.3827063330703301E-2</v>
      </c>
      <c r="L26" s="8">
        <v>0.80732118311866796</v>
      </c>
      <c r="M26" s="8">
        <v>0.70645408833640866</v>
      </c>
      <c r="N26" s="8">
        <v>4.7418525886292882</v>
      </c>
      <c r="O26" s="8">
        <v>4.1758078327356802</v>
      </c>
      <c r="P26" s="8">
        <v>0.75615904522564215</v>
      </c>
      <c r="S26" s="6">
        <f t="shared" si="0"/>
        <v>8.9176604213649675</v>
      </c>
      <c r="T26" s="6">
        <f t="shared" si="1"/>
        <v>9.6738194665906097</v>
      </c>
      <c r="U26" s="6">
        <f t="shared" si="2"/>
        <v>9.6241145097013767</v>
      </c>
      <c r="V26" s="6">
        <f t="shared" si="3"/>
        <v>10.380273554927019</v>
      </c>
      <c r="W26" s="8">
        <f t="shared" si="4"/>
        <v>10.603258292918586</v>
      </c>
      <c r="X26" s="8">
        <f t="shared" si="5"/>
        <v>11.359417338144228</v>
      </c>
      <c r="Y26" s="6">
        <f t="shared" si="6"/>
        <v>9.6241145097013767</v>
      </c>
      <c r="Z26" s="6">
        <f t="shared" si="7"/>
        <v>0.97914378321720819</v>
      </c>
      <c r="AA26" s="6"/>
      <c r="AB26" s="9"/>
      <c r="AC26" s="6">
        <f t="shared" si="8"/>
        <v>1.1355533536424203</v>
      </c>
      <c r="AD26" s="6">
        <f t="shared" si="9"/>
        <v>9.8291126131435718</v>
      </c>
      <c r="AE26" s="6"/>
      <c r="AF26" s="6"/>
      <c r="AG26" s="10">
        <f t="shared" si="10"/>
        <v>2.2221303861694834E-4</v>
      </c>
      <c r="AH26" s="10">
        <f t="shared" si="11"/>
        <v>1.3580226240575169E-4</v>
      </c>
      <c r="AI26" s="10">
        <f t="shared" si="12"/>
        <v>1.1666491085529883E-3</v>
      </c>
      <c r="AJ26" s="10">
        <f t="shared" si="13"/>
        <v>5.0103126832369413E-3</v>
      </c>
      <c r="AK26" s="10">
        <f t="shared" si="14"/>
        <v>4.7229607456467015E-3</v>
      </c>
      <c r="AL26" s="10">
        <f t="shared" si="15"/>
        <v>7.1017140012511566E-3</v>
      </c>
      <c r="AM26" s="10">
        <f t="shared" si="16"/>
        <v>5.1791715426413847E-3</v>
      </c>
    </row>
    <row r="27" spans="1:39">
      <c r="A27" s="1" t="s">
        <v>167</v>
      </c>
      <c r="B27" s="2">
        <v>2944.72</v>
      </c>
      <c r="C27" s="12">
        <v>2944.83</v>
      </c>
      <c r="D27" s="12">
        <v>-1369.03</v>
      </c>
      <c r="E27" s="12">
        <v>206.37</v>
      </c>
      <c r="F27" s="12" t="s">
        <v>230</v>
      </c>
      <c r="G27" s="12" t="s">
        <v>168</v>
      </c>
      <c r="H27" s="12" t="s">
        <v>225</v>
      </c>
      <c r="I27" s="2" t="s">
        <v>192</v>
      </c>
      <c r="J27" s="8">
        <v>4.8987941429800001E-2</v>
      </c>
      <c r="K27" s="8">
        <v>8.2615949282615994E-2</v>
      </c>
      <c r="L27" s="8">
        <v>0.94565417488493997</v>
      </c>
      <c r="M27" s="8">
        <v>0.178201621060535</v>
      </c>
      <c r="N27" s="8">
        <v>2.0681019660611502</v>
      </c>
      <c r="O27" s="8">
        <v>0.59920661303548095</v>
      </c>
      <c r="P27" s="8">
        <v>1.171852633165072</v>
      </c>
      <c r="S27" s="6">
        <f t="shared" si="0"/>
        <v>2.6673085790966313</v>
      </c>
      <c r="T27" s="6">
        <f t="shared" si="1"/>
        <v>3.8391612122617031</v>
      </c>
      <c r="U27" s="6">
        <f t="shared" si="2"/>
        <v>2.8455102001571664</v>
      </c>
      <c r="V27" s="6">
        <f t="shared" si="3"/>
        <v>4.0173628333222382</v>
      </c>
      <c r="W27" s="8">
        <f t="shared" si="4"/>
        <v>3.922768265754522</v>
      </c>
      <c r="X27" s="8">
        <f t="shared" si="5"/>
        <v>5.0946208989195938</v>
      </c>
      <c r="Y27" s="6">
        <f t="shared" si="6"/>
        <v>2.8455102001571664</v>
      </c>
      <c r="Z27" s="6">
        <f t="shared" si="7"/>
        <v>1.077258065597356</v>
      </c>
      <c r="AA27" s="6"/>
      <c r="AB27" s="9"/>
      <c r="AC27" s="6">
        <f t="shared" si="8"/>
        <v>3.451400436961952</v>
      </c>
      <c r="AD27" s="6">
        <f t="shared" si="9"/>
        <v>2.6414378235165845</v>
      </c>
      <c r="AE27" s="6"/>
      <c r="AF27" s="6"/>
      <c r="AG27" s="10">
        <f t="shared" si="10"/>
        <v>1.0079823339465021E-4</v>
      </c>
      <c r="AH27" s="10">
        <f t="shared" si="11"/>
        <v>1.7577861549492765E-4</v>
      </c>
      <c r="AI27" s="10">
        <f t="shared" si="12"/>
        <v>1.3665522758452889E-3</v>
      </c>
      <c r="AJ27" s="10">
        <f t="shared" si="13"/>
        <v>1.2638412841172696E-3</v>
      </c>
      <c r="AK27" s="10">
        <f t="shared" si="14"/>
        <v>2.0598625159971616E-3</v>
      </c>
      <c r="AL27" s="10">
        <f t="shared" si="15"/>
        <v>1.0190588657066004E-3</v>
      </c>
      <c r="AM27" s="10">
        <f t="shared" si="16"/>
        <v>8.0263878983909045E-3</v>
      </c>
    </row>
    <row r="28" spans="1:39">
      <c r="B28" s="2"/>
      <c r="X28" s="8"/>
    </row>
    <row r="29" spans="1:39">
      <c r="J29" s="21"/>
      <c r="K29" s="21"/>
      <c r="L29" s="21"/>
      <c r="M29" s="21"/>
      <c r="N29" s="21"/>
      <c r="O29" s="8"/>
      <c r="P29" s="8"/>
      <c r="Q29" s="6"/>
    </row>
    <row r="46" spans="1:1">
      <c r="A46" s="28"/>
    </row>
  </sheetData>
  <mergeCells count="1">
    <mergeCell ref="I1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zoomScaleNormal="100" workbookViewId="0">
      <pane ySplit="1" topLeftCell="A17" activePane="bottomLeft" state="frozen"/>
      <selection pane="bottomLeft" activeCell="H21" sqref="H21"/>
    </sheetView>
  </sheetViews>
  <sheetFormatPr defaultRowHeight="12"/>
  <cols>
    <col min="1" max="1" width="13.85546875" style="24" customWidth="1"/>
    <col min="2" max="2" width="9.7109375" style="1" customWidth="1"/>
    <col min="3" max="4" width="9.28515625" style="12" bestFit="1" customWidth="1"/>
    <col min="5" max="5" width="9.42578125" style="12" bestFit="1" customWidth="1"/>
    <col min="6" max="6" width="9.28515625" style="12" bestFit="1" customWidth="1"/>
    <col min="7" max="9" width="9.42578125" style="12" bestFit="1" customWidth="1"/>
    <col min="10" max="16384" width="9.140625" style="7"/>
  </cols>
  <sheetData>
    <row r="1" spans="1:9"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>
      <c r="C2" s="2" t="s">
        <v>124</v>
      </c>
      <c r="D2" s="2" t="s">
        <v>124</v>
      </c>
      <c r="E2" s="2" t="s">
        <v>124</v>
      </c>
      <c r="F2" s="2" t="s">
        <v>124</v>
      </c>
      <c r="G2" s="2" t="s">
        <v>124</v>
      </c>
      <c r="H2" s="2" t="s">
        <v>124</v>
      </c>
      <c r="I2" s="2" t="s">
        <v>124</v>
      </c>
    </row>
    <row r="3" spans="1:9">
      <c r="C3" s="2"/>
      <c r="D3" s="2"/>
      <c r="E3" s="2"/>
      <c r="F3" s="2"/>
      <c r="G3" s="2"/>
      <c r="H3" s="2"/>
      <c r="I3" s="2"/>
    </row>
    <row r="4" spans="1:9">
      <c r="A4" s="24" t="s">
        <v>188</v>
      </c>
      <c r="B4" s="2"/>
    </row>
    <row r="5" spans="1:9">
      <c r="A5" s="24" t="s">
        <v>210</v>
      </c>
    </row>
    <row r="7" spans="1:9">
      <c r="A7" s="25">
        <v>42186</v>
      </c>
      <c r="B7" s="26"/>
    </row>
    <row r="8" spans="1:9">
      <c r="A8" s="24" t="s">
        <v>186</v>
      </c>
      <c r="C8" s="2"/>
      <c r="E8" s="2"/>
      <c r="F8" s="2"/>
      <c r="G8" s="2"/>
      <c r="H8" s="2"/>
      <c r="I8" s="2"/>
    </row>
    <row r="9" spans="1:9">
      <c r="A9" s="24" t="s">
        <v>172</v>
      </c>
      <c r="C9" s="8">
        <v>7.2413793103448004E-2</v>
      </c>
      <c r="D9" s="8">
        <v>0.10203448275862</v>
      </c>
      <c r="E9" s="8">
        <v>0.34517241379310298</v>
      </c>
      <c r="F9" s="8">
        <v>0.52413793103448003</v>
      </c>
      <c r="G9" s="8">
        <v>6.2241379310344804</v>
      </c>
      <c r="H9" s="8">
        <v>22.417241379310347</v>
      </c>
      <c r="I9" s="8">
        <v>6.3827586206896552</v>
      </c>
    </row>
    <row r="10" spans="1:9">
      <c r="A10" s="24" t="s">
        <v>180</v>
      </c>
      <c r="C10" s="8">
        <v>28.837032821096567</v>
      </c>
      <c r="D10" s="8">
        <v>46.978751660026568</v>
      </c>
      <c r="E10" s="8">
        <v>242.00815784481125</v>
      </c>
      <c r="F10" s="8">
        <v>83.428191993929047</v>
      </c>
      <c r="G10" s="8">
        <v>488.9963953708974</v>
      </c>
      <c r="H10" s="8">
        <v>218.53063934737241</v>
      </c>
      <c r="I10" s="8">
        <v>14.902722443559099</v>
      </c>
    </row>
    <row r="11" spans="1:9">
      <c r="A11" s="24" t="s">
        <v>176</v>
      </c>
      <c r="C11" s="8">
        <v>14.64</v>
      </c>
      <c r="D11" s="8">
        <v>14.468</v>
      </c>
      <c r="E11" s="8">
        <v>21.568000000000001</v>
      </c>
      <c r="F11" s="8">
        <v>12.784000000000001</v>
      </c>
      <c r="G11" s="8">
        <v>286.92</v>
      </c>
      <c r="H11" s="8">
        <v>240.48</v>
      </c>
      <c r="I11" s="8">
        <v>42.52</v>
      </c>
    </row>
    <row r="12" spans="1:9">
      <c r="A12" s="24" t="s">
        <v>181</v>
      </c>
      <c r="C12" s="8">
        <v>24.566666666666599</v>
      </c>
      <c r="D12" s="8">
        <v>47.042551360129899</v>
      </c>
      <c r="E12" s="8">
        <v>38.550527154005401</v>
      </c>
      <c r="F12" s="8">
        <v>27.205738255033499</v>
      </c>
      <c r="G12" s="8">
        <v>718.26982144287001</v>
      </c>
      <c r="H12" s="8">
        <v>376.209071479459</v>
      </c>
      <c r="I12" s="8">
        <v>105.673948518698</v>
      </c>
    </row>
    <row r="14" spans="1:9">
      <c r="A14" s="24" t="s">
        <v>171</v>
      </c>
      <c r="C14" s="2"/>
    </row>
    <row r="15" spans="1:9">
      <c r="A15" s="24" t="s">
        <v>172</v>
      </c>
      <c r="C15" s="12">
        <v>0.1</v>
      </c>
      <c r="D15" s="12">
        <v>0.15</v>
      </c>
      <c r="E15" s="12">
        <v>0.3</v>
      </c>
      <c r="F15" s="12">
        <v>0.7</v>
      </c>
      <c r="G15" s="12" t="s">
        <v>182</v>
      </c>
      <c r="H15" s="12" t="s">
        <v>183</v>
      </c>
      <c r="I15" s="12" t="s">
        <v>184</v>
      </c>
    </row>
    <row r="16" spans="1:9">
      <c r="A16" s="24" t="s">
        <v>211</v>
      </c>
      <c r="C16" s="12" t="s">
        <v>185</v>
      </c>
      <c r="D16" s="12">
        <v>52</v>
      </c>
      <c r="E16" s="12">
        <v>240</v>
      </c>
      <c r="F16" s="12">
        <v>80</v>
      </c>
      <c r="G16" s="12">
        <v>475</v>
      </c>
      <c r="H16" s="12">
        <v>210</v>
      </c>
      <c r="I16" s="12">
        <v>18</v>
      </c>
    </row>
    <row r="17" spans="1:11">
      <c r="A17" s="24" t="s">
        <v>176</v>
      </c>
      <c r="C17" s="12">
        <v>11.5</v>
      </c>
      <c r="D17" s="12">
        <v>13.5</v>
      </c>
      <c r="E17" s="12">
        <v>22</v>
      </c>
      <c r="F17" s="12">
        <v>13.4</v>
      </c>
      <c r="G17" s="12">
        <v>285</v>
      </c>
      <c r="H17" s="12">
        <v>235</v>
      </c>
      <c r="I17" s="12">
        <v>43</v>
      </c>
      <c r="K17" s="5"/>
    </row>
    <row r="18" spans="1:11">
      <c r="A18" s="24" t="s">
        <v>181</v>
      </c>
      <c r="C18" s="12">
        <v>24</v>
      </c>
      <c r="D18" s="12">
        <v>46</v>
      </c>
      <c r="E18" s="12">
        <v>35</v>
      </c>
      <c r="F18" s="12">
        <v>26</v>
      </c>
      <c r="G18" s="12">
        <v>731</v>
      </c>
      <c r="H18" s="12">
        <v>382</v>
      </c>
      <c r="I18" s="12">
        <v>110</v>
      </c>
    </row>
    <row r="20" spans="1:11">
      <c r="A20" s="27" t="s">
        <v>205</v>
      </c>
      <c r="B20" s="28" t="s">
        <v>207</v>
      </c>
    </row>
    <row r="21" spans="1:11">
      <c r="A21" s="24" t="s">
        <v>172</v>
      </c>
      <c r="C21" s="8">
        <f>100*(C15-C9)/C15</f>
        <v>27.586206896552</v>
      </c>
      <c r="D21" s="8">
        <f t="shared" ref="D21:F21" si="0">100*(D15-D9)/D15</f>
        <v>31.977011494253336</v>
      </c>
      <c r="E21" s="8">
        <f t="shared" si="0"/>
        <v>-15.057471264367663</v>
      </c>
      <c r="F21" s="8">
        <f t="shared" si="0"/>
        <v>25.123152709359992</v>
      </c>
      <c r="G21" s="8">
        <f>100*(5.8-G9)/5.8</f>
        <v>-7.3127229488703547</v>
      </c>
      <c r="H21" s="8">
        <f>100*(22.4-H9)/22.4</f>
        <v>-7.6970443349771198E-2</v>
      </c>
      <c r="I21" s="8">
        <f>100*(6.3-I9)/6.3</f>
        <v>-1.313628899835799</v>
      </c>
      <c r="J21" s="11"/>
    </row>
    <row r="22" spans="1:11">
      <c r="A22" s="24" t="s">
        <v>180</v>
      </c>
      <c r="C22" s="8" t="s">
        <v>185</v>
      </c>
      <c r="D22" s="8">
        <f t="shared" ref="C22:I24" si="1">100*(D16-D10)/D16</f>
        <v>9.6562468076412156</v>
      </c>
      <c r="E22" s="8">
        <f t="shared" si="1"/>
        <v>-0.83673243533802122</v>
      </c>
      <c r="F22" s="8">
        <f t="shared" si="1"/>
        <v>-4.2852399924113094</v>
      </c>
      <c r="G22" s="8">
        <f t="shared" si="1"/>
        <v>-2.9466095517678745</v>
      </c>
      <c r="H22" s="8">
        <f t="shared" si="1"/>
        <v>-4.0622092130344827</v>
      </c>
      <c r="I22" s="8">
        <f t="shared" si="1"/>
        <v>17.207097535782779</v>
      </c>
      <c r="J22" s="11"/>
    </row>
    <row r="23" spans="1:11">
      <c r="A23" s="24" t="s">
        <v>176</v>
      </c>
      <c r="C23" s="8">
        <f t="shared" si="1"/>
        <v>-27.304347826086961</v>
      </c>
      <c r="D23" s="8">
        <f t="shared" si="1"/>
        <v>-7.1703703703703701</v>
      </c>
      <c r="E23" s="8">
        <f t="shared" si="1"/>
        <v>1.9636363636363574</v>
      </c>
      <c r="F23" s="8">
        <f t="shared" si="1"/>
        <v>4.5970149253731316</v>
      </c>
      <c r="G23" s="8">
        <f t="shared" si="1"/>
        <v>-0.67368421052632133</v>
      </c>
      <c r="H23" s="8">
        <f t="shared" si="1"/>
        <v>-2.3319148936170171</v>
      </c>
      <c r="I23" s="8">
        <f t="shared" si="1"/>
        <v>1.1162790697674345</v>
      </c>
      <c r="J23" s="11"/>
    </row>
    <row r="24" spans="1:11">
      <c r="A24" s="24" t="s">
        <v>181</v>
      </c>
      <c r="C24" s="8">
        <f t="shared" si="1"/>
        <v>-2.3611111111108287</v>
      </c>
      <c r="D24" s="8">
        <f t="shared" si="1"/>
        <v>-2.2664160002823888</v>
      </c>
      <c r="E24" s="8">
        <f t="shared" si="1"/>
        <v>-10.144363297158289</v>
      </c>
      <c r="F24" s="8">
        <f t="shared" si="1"/>
        <v>-4.6374548270519176</v>
      </c>
      <c r="G24" s="8">
        <f t="shared" si="1"/>
        <v>1.7414744948194238</v>
      </c>
      <c r="H24" s="8">
        <f t="shared" si="1"/>
        <v>1.5159498744871731</v>
      </c>
      <c r="I24" s="8">
        <f t="shared" si="1"/>
        <v>3.9327740739109114</v>
      </c>
      <c r="J24" s="11"/>
    </row>
    <row r="25" spans="1:11">
      <c r="J25" s="11"/>
    </row>
    <row r="26" spans="1:11">
      <c r="A26" s="27" t="s">
        <v>206</v>
      </c>
      <c r="B26" s="28" t="s">
        <v>208</v>
      </c>
      <c r="J26" s="11"/>
    </row>
    <row r="27" spans="1:11">
      <c r="A27" s="24" t="s">
        <v>172</v>
      </c>
      <c r="C27" s="8">
        <f>100*_xlfn.STDEV.S(C9,C15)/((C9+C15)/2)</f>
        <v>22.627416997969789</v>
      </c>
      <c r="D27" s="8">
        <f t="shared" ref="D27:F27" si="2">100*_xlfn.STDEV.S(D9,D15)/((D9+D15)/2)</f>
        <v>26.914366743207044</v>
      </c>
      <c r="E27" s="8">
        <f t="shared" si="2"/>
        <v>9.9017625158136671</v>
      </c>
      <c r="F27" s="8">
        <f t="shared" si="2"/>
        <v>20.31687089606454</v>
      </c>
      <c r="G27" s="8">
        <f>100*_xlfn.STDEV.S(G9,5.8)/((G9+5.8)/2)</f>
        <v>4.9884791560622261</v>
      </c>
      <c r="H27" s="8">
        <f>100*_xlfn.STDEV.S(H9,22.4)/((H9+22.4)/2)</f>
        <v>5.4405384410764659E-2</v>
      </c>
      <c r="I27" s="8">
        <f>100*_xlfn.STDEV.S(I9,6.3)/((I9+6.3)/2)</f>
        <v>0.92281472259255992</v>
      </c>
      <c r="J27" s="11"/>
    </row>
    <row r="28" spans="1:11">
      <c r="A28" s="24" t="s">
        <v>180</v>
      </c>
      <c r="C28" s="8" t="s">
        <v>185</v>
      </c>
      <c r="D28" s="8">
        <f t="shared" ref="C28:I30" si="3">100*_xlfn.STDEV.S(D10,D16)/((D10+D16)/2)</f>
        <v>7.1743857983022687</v>
      </c>
      <c r="E28" s="8">
        <f t="shared" si="3"/>
        <v>0.5891941896204087</v>
      </c>
      <c r="F28" s="8">
        <f t="shared" si="3"/>
        <v>2.9665601467422595</v>
      </c>
      <c r="G28" s="8">
        <f t="shared" si="3"/>
        <v>2.0533159929756186</v>
      </c>
      <c r="H28" s="8">
        <f t="shared" si="3"/>
        <v>2.8152353071277796</v>
      </c>
      <c r="I28" s="8">
        <f t="shared" si="3"/>
        <v>13.31261245711895</v>
      </c>
      <c r="J28" s="11"/>
    </row>
    <row r="29" spans="1:11">
      <c r="A29" s="24" t="s">
        <v>176</v>
      </c>
      <c r="C29" s="8">
        <f t="shared" si="3"/>
        <v>16.987875232790813</v>
      </c>
      <c r="D29" s="8">
        <f t="shared" si="3"/>
        <v>4.894732295398871</v>
      </c>
      <c r="E29" s="8">
        <f t="shared" si="3"/>
        <v>1.4022683137742729</v>
      </c>
      <c r="F29" s="8">
        <f t="shared" si="3"/>
        <v>3.3270529881676825</v>
      </c>
      <c r="G29" s="8">
        <f t="shared" si="3"/>
        <v>0.47476745694439165</v>
      </c>
      <c r="H29" s="8">
        <f t="shared" si="3"/>
        <v>1.6299087914958665</v>
      </c>
      <c r="I29" s="8">
        <f t="shared" si="3"/>
        <v>0.79375878150032864</v>
      </c>
      <c r="J29" s="11"/>
    </row>
    <row r="30" spans="1:11">
      <c r="A30" s="24" t="s">
        <v>181</v>
      </c>
      <c r="C30" s="8">
        <f t="shared" si="3"/>
        <v>1.6500775950816593</v>
      </c>
      <c r="D30" s="8">
        <f t="shared" si="3"/>
        <v>1.5846408459495638</v>
      </c>
      <c r="E30" s="8">
        <f t="shared" si="3"/>
        <v>6.8268765011767032</v>
      </c>
      <c r="F30" s="8">
        <f t="shared" si="3"/>
        <v>3.2048637024205311</v>
      </c>
      <c r="G30" s="8">
        <f t="shared" si="3"/>
        <v>1.2422249397976628</v>
      </c>
      <c r="H30" s="8">
        <f t="shared" si="3"/>
        <v>1.0801255168976327</v>
      </c>
      <c r="I30" s="8">
        <f t="shared" si="3"/>
        <v>2.8366711503179576</v>
      </c>
      <c r="J30" s="11"/>
    </row>
    <row r="31" spans="1:11">
      <c r="J31" s="11"/>
    </row>
    <row r="32" spans="1:11">
      <c r="A32" s="24" t="s">
        <v>209</v>
      </c>
      <c r="C32" s="1"/>
      <c r="J32" s="11"/>
    </row>
    <row r="33" spans="1:10">
      <c r="A33" s="24" t="s">
        <v>172</v>
      </c>
      <c r="C33" s="8">
        <f>_xlfn.STDEV.S(C9,C15)</f>
        <v>1.9506393963767028E-2</v>
      </c>
      <c r="D33" s="8">
        <f t="shared" ref="D33:F33" si="4">_xlfn.STDEV.S(D9,D15)</f>
        <v>3.3916742504499955E-2</v>
      </c>
      <c r="E33" s="8">
        <f t="shared" si="4"/>
        <v>3.1941720115667857E-2</v>
      </c>
      <c r="F33" s="8">
        <f t="shared" si="4"/>
        <v>0.12435326151901543</v>
      </c>
      <c r="G33" s="8">
        <f>_xlfn.STDEV.S(G9,5.8)</f>
        <v>0.29991080719291346</v>
      </c>
      <c r="H33" s="8">
        <f>_xlfn.STDEV.S(H9,22.4)</f>
        <v>1.2191496227357039E-2</v>
      </c>
      <c r="I33" s="8">
        <f>_xlfn.STDEV.S(I9,6.3)</f>
        <v>5.8519181891300606E-2</v>
      </c>
      <c r="J33" s="11"/>
    </row>
    <row r="34" spans="1:10">
      <c r="A34" s="24" t="s">
        <v>180</v>
      </c>
      <c r="C34" s="8" t="s">
        <v>185</v>
      </c>
      <c r="D34" s="8">
        <f t="shared" ref="C34:I36" si="5">_xlfn.STDEV.S(D10,D16)</f>
        <v>3.5505587512169088</v>
      </c>
      <c r="E34" s="8">
        <f t="shared" si="5"/>
        <v>1.419982029758998</v>
      </c>
      <c r="F34" s="8">
        <f t="shared" si="5"/>
        <v>2.4240978061166611</v>
      </c>
      <c r="G34" s="8">
        <f t="shared" si="5"/>
        <v>9.896946078929556</v>
      </c>
      <c r="H34" s="8">
        <f t="shared" si="5"/>
        <v>6.0320729303838183</v>
      </c>
      <c r="I34" s="8">
        <f t="shared" si="5"/>
        <v>2.1901059633762605</v>
      </c>
      <c r="J34" s="11"/>
    </row>
    <row r="35" spans="1:10">
      <c r="A35" s="24" t="s">
        <v>176</v>
      </c>
      <c r="C35" s="8">
        <f t="shared" si="5"/>
        <v>2.2203152929257595</v>
      </c>
      <c r="D35" s="8">
        <f t="shared" si="5"/>
        <v>0.68447936418857802</v>
      </c>
      <c r="E35" s="8">
        <f t="shared" si="5"/>
        <v>0.30547012947258756</v>
      </c>
      <c r="F35" s="8">
        <f t="shared" si="5"/>
        <v>0.43557777721091301</v>
      </c>
      <c r="G35" s="8">
        <f t="shared" si="5"/>
        <v>1.3576450198781824</v>
      </c>
      <c r="H35" s="8">
        <f t="shared" si="5"/>
        <v>3.8749451609022731</v>
      </c>
      <c r="I35" s="8">
        <f t="shared" si="5"/>
        <v>0.33941125496954061</v>
      </c>
      <c r="J35" s="11"/>
    </row>
    <row r="36" spans="1:10">
      <c r="A36" s="24" t="s">
        <v>181</v>
      </c>
      <c r="C36" s="8">
        <f t="shared" si="5"/>
        <v>0.40069384267232905</v>
      </c>
      <c r="D36" s="8">
        <f t="shared" si="5"/>
        <v>0.73719513648310986</v>
      </c>
      <c r="E36" s="8">
        <f t="shared" si="5"/>
        <v>2.5106018273841926</v>
      </c>
      <c r="F36" s="8">
        <f t="shared" si="5"/>
        <v>0.85258569647022164</v>
      </c>
      <c r="G36" s="8">
        <f t="shared" si="5"/>
        <v>9.0015955834621941</v>
      </c>
      <c r="H36" s="8">
        <f t="shared" si="5"/>
        <v>4.0948048262411234</v>
      </c>
      <c r="I36" s="8">
        <f t="shared" si="5"/>
        <v>3.058980338190755</v>
      </c>
      <c r="J36" s="11"/>
    </row>
    <row r="37" spans="1:10">
      <c r="C37" s="8"/>
      <c r="D37" s="8"/>
      <c r="E37" s="8"/>
      <c r="F37" s="8"/>
      <c r="G37" s="8"/>
      <c r="H37" s="8"/>
      <c r="I37" s="8"/>
    </row>
    <row r="39" spans="1:10">
      <c r="A39" s="25">
        <v>42278</v>
      </c>
      <c r="B39" s="26"/>
    </row>
    <row r="40" spans="1:10">
      <c r="A40" s="24" t="s">
        <v>186</v>
      </c>
      <c r="C40" s="2"/>
      <c r="E40" s="2"/>
      <c r="F40" s="2"/>
      <c r="G40" s="2"/>
      <c r="H40" s="2"/>
      <c r="I40" s="2"/>
    </row>
    <row r="41" spans="1:10">
      <c r="A41" s="24" t="s">
        <v>172</v>
      </c>
      <c r="C41" s="8">
        <v>0.10296059701492501</v>
      </c>
      <c r="D41" s="8">
        <v>0.13832835820895523</v>
      </c>
      <c r="E41" s="8">
        <v>0.24891044776119398</v>
      </c>
      <c r="F41" s="8">
        <v>0.60792537313432804</v>
      </c>
      <c r="G41" s="8">
        <v>6.4920895522388058</v>
      </c>
      <c r="H41" s="8">
        <v>23.73663432835821</v>
      </c>
      <c r="I41" s="8">
        <v>7.0937014925373099</v>
      </c>
    </row>
    <row r="42" spans="1:10">
      <c r="A42" s="24" t="s">
        <v>176</v>
      </c>
      <c r="C42" s="8">
        <v>11.399805970149254</v>
      </c>
      <c r="D42" s="8">
        <v>14.334328358208955</v>
      </c>
      <c r="E42" s="8">
        <v>21.5129104477612</v>
      </c>
      <c r="F42" s="8">
        <v>12.842537313433001</v>
      </c>
      <c r="G42" s="8">
        <v>280.28208955223886</v>
      </c>
      <c r="H42" s="8">
        <v>226.56063432835799</v>
      </c>
      <c r="I42" s="8">
        <v>39.694701492537298</v>
      </c>
    </row>
    <row r="43" spans="1:10">
      <c r="A43" s="24" t="s">
        <v>180</v>
      </c>
      <c r="C43" s="8">
        <v>25.518805970149252</v>
      </c>
      <c r="D43" s="8">
        <v>50.291128358208951</v>
      </c>
      <c r="E43" s="8">
        <v>240.79291044776119</v>
      </c>
      <c r="F43" s="8">
        <v>83.571253731343276</v>
      </c>
      <c r="G43" s="8">
        <v>490.95208955223899</v>
      </c>
      <c r="H43" s="8">
        <v>217.40063432835819</v>
      </c>
      <c r="I43" s="8">
        <v>16.3617014925373</v>
      </c>
    </row>
    <row r="45" spans="1:10">
      <c r="A45" s="24" t="s">
        <v>171</v>
      </c>
    </row>
    <row r="46" spans="1:10">
      <c r="A46" s="24" t="s">
        <v>172</v>
      </c>
      <c r="C46" s="12">
        <v>0.1</v>
      </c>
      <c r="D46" s="12">
        <v>0.15</v>
      </c>
      <c r="E46" s="12">
        <v>0.3</v>
      </c>
      <c r="F46" s="12">
        <v>0.7</v>
      </c>
      <c r="G46" s="12" t="s">
        <v>182</v>
      </c>
      <c r="H46" s="12" t="s">
        <v>183</v>
      </c>
      <c r="I46" s="12" t="s">
        <v>184</v>
      </c>
    </row>
    <row r="47" spans="1:10">
      <c r="A47" s="24" t="s">
        <v>176</v>
      </c>
      <c r="C47" s="12">
        <v>11.5</v>
      </c>
      <c r="D47" s="12">
        <v>13.5</v>
      </c>
      <c r="E47" s="12">
        <v>22</v>
      </c>
      <c r="F47" s="12">
        <v>13.4</v>
      </c>
      <c r="G47" s="12">
        <v>285</v>
      </c>
      <c r="H47" s="12">
        <v>235</v>
      </c>
      <c r="I47" s="12">
        <v>43</v>
      </c>
    </row>
    <row r="48" spans="1:10">
      <c r="A48" s="24" t="s">
        <v>211</v>
      </c>
      <c r="C48" s="12" t="s">
        <v>185</v>
      </c>
      <c r="D48" s="12">
        <v>52</v>
      </c>
      <c r="E48" s="12">
        <v>240</v>
      </c>
      <c r="F48" s="12">
        <v>80</v>
      </c>
      <c r="G48" s="12">
        <v>475</v>
      </c>
      <c r="H48" s="12">
        <v>210</v>
      </c>
      <c r="I48" s="12">
        <v>18</v>
      </c>
    </row>
    <row r="50" spans="1:9">
      <c r="A50" s="27" t="s">
        <v>205</v>
      </c>
      <c r="B50" s="28" t="s">
        <v>207</v>
      </c>
    </row>
    <row r="51" spans="1:9">
      <c r="A51" s="24" t="s">
        <v>172</v>
      </c>
      <c r="C51" s="8">
        <f>100*(C46-C41)/C46</f>
        <v>-2.9605970149250007</v>
      </c>
      <c r="D51" s="8">
        <f t="shared" ref="D51:F51" si="6">100*(D46-D41)/D46</f>
        <v>7.7810945273631784</v>
      </c>
      <c r="E51" s="8">
        <f t="shared" si="6"/>
        <v>17.029850746268671</v>
      </c>
      <c r="F51" s="8">
        <f t="shared" si="6"/>
        <v>13.153518123667418</v>
      </c>
      <c r="G51" s="8">
        <f>100*(5.8-G41)/5.8</f>
        <v>-11.932578486875965</v>
      </c>
      <c r="H51" s="8">
        <f>100*(22.4-H41)/22.4</f>
        <v>-5.9671175373134471</v>
      </c>
      <c r="I51" s="8">
        <f>100*(6.3-I41)/6.3</f>
        <v>-12.598436389481112</v>
      </c>
    </row>
    <row r="52" spans="1:9">
      <c r="A52" s="24" t="s">
        <v>176</v>
      </c>
      <c r="C52" s="8">
        <f t="shared" ref="C52:I52" si="7">100*(C47-C42)/C47</f>
        <v>0.87125243348474779</v>
      </c>
      <c r="D52" s="8">
        <f t="shared" si="7"/>
        <v>-6.1802100608070756</v>
      </c>
      <c r="E52" s="8">
        <f t="shared" si="7"/>
        <v>2.2140434192672713</v>
      </c>
      <c r="F52" s="8">
        <f t="shared" si="7"/>
        <v>4.1601693027388045</v>
      </c>
      <c r="G52" s="8">
        <f t="shared" si="7"/>
        <v>1.6554071746530321</v>
      </c>
      <c r="H52" s="8">
        <f t="shared" si="7"/>
        <v>3.59121943474128</v>
      </c>
      <c r="I52" s="8">
        <f t="shared" si="7"/>
        <v>7.6867407150295399</v>
      </c>
    </row>
    <row r="53" spans="1:9">
      <c r="A53" s="24" t="s">
        <v>180</v>
      </c>
      <c r="C53" s="8" t="s">
        <v>185</v>
      </c>
      <c r="D53" s="8">
        <f t="shared" ref="D53:I53" si="8">100*(D48-D43)/D48</f>
        <v>3.2862916188289404</v>
      </c>
      <c r="E53" s="8">
        <f t="shared" si="8"/>
        <v>-0.330379353233828</v>
      </c>
      <c r="F53" s="8">
        <f t="shared" si="8"/>
        <v>-4.4640671641790952</v>
      </c>
      <c r="G53" s="8">
        <f t="shared" si="8"/>
        <v>-3.3583346425766289</v>
      </c>
      <c r="H53" s="8">
        <f t="shared" si="8"/>
        <v>-3.5241115849324736</v>
      </c>
      <c r="I53" s="8">
        <f t="shared" si="8"/>
        <v>9.1016583747927786</v>
      </c>
    </row>
    <row r="55" spans="1:9">
      <c r="A55" s="27" t="s">
        <v>206</v>
      </c>
      <c r="B55" s="28" t="s">
        <v>208</v>
      </c>
    </row>
    <row r="56" spans="1:9">
      <c r="A56" s="24" t="s">
        <v>172</v>
      </c>
      <c r="C56" s="8">
        <f>100*_xlfn.STDEV.S(C41,C46)/((C41+C46)/2)</f>
        <v>2.0629208392209968</v>
      </c>
      <c r="D56" s="8">
        <f t="shared" ref="D56:F56" si="9">100*_xlfn.STDEV.S(D41,D46)/((D41+D46)/2)</f>
        <v>5.7247903808663407</v>
      </c>
      <c r="E56" s="8">
        <f t="shared" si="9"/>
        <v>13.162718612184543</v>
      </c>
      <c r="F56" s="8">
        <f t="shared" si="9"/>
        <v>9.9557045637726986</v>
      </c>
      <c r="G56" s="8">
        <f>100*_xlfn.STDEV.S(G41,5.8)/((G41+5.8)/2)</f>
        <v>7.9625390540258154</v>
      </c>
      <c r="H56" s="8">
        <f>100*_xlfn.STDEV.S(H41,22.4)/((H41+22.4)/2)</f>
        <v>4.0971484431315739</v>
      </c>
      <c r="I56" s="8">
        <f>100*_xlfn.STDEV.S(I41,6.3)/((I41+6.3)/2)</f>
        <v>8.3805318182389286</v>
      </c>
    </row>
    <row r="57" spans="1:9">
      <c r="A57" s="24" t="s">
        <v>176</v>
      </c>
      <c r="C57" s="8">
        <f t="shared" ref="C57:I57" si="10">100*_xlfn.STDEV.S(C42,C47)/((C42+C47)/2)</f>
        <v>0.61876400205506277</v>
      </c>
      <c r="D57" s="8">
        <f t="shared" si="10"/>
        <v>4.2390765261759871</v>
      </c>
      <c r="E57" s="8">
        <f t="shared" si="10"/>
        <v>1.5830902685614103</v>
      </c>
      <c r="F57" s="8">
        <f t="shared" si="10"/>
        <v>3.0041732719817542</v>
      </c>
      <c r="G57" s="8">
        <f t="shared" si="10"/>
        <v>1.1803191830419637</v>
      </c>
      <c r="H57" s="8">
        <f t="shared" si="10"/>
        <v>2.5858066097923227</v>
      </c>
      <c r="I57" s="8">
        <f t="shared" si="10"/>
        <v>5.6525967112501618</v>
      </c>
    </row>
    <row r="58" spans="1:9">
      <c r="A58" s="24" t="s">
        <v>180</v>
      </c>
      <c r="C58" s="8" t="s">
        <v>185</v>
      </c>
      <c r="D58" s="8">
        <f t="shared" ref="D58:I58" si="11">100*_xlfn.STDEV.S(D43,D48)/((D43+D48)/2)</f>
        <v>2.362579718265212</v>
      </c>
      <c r="E58" s="8">
        <f t="shared" si="11"/>
        <v>0.2332282121063077</v>
      </c>
      <c r="F58" s="8">
        <f t="shared" si="11"/>
        <v>3.0876546742353486</v>
      </c>
      <c r="G58" s="8">
        <f t="shared" si="11"/>
        <v>2.335484506630543</v>
      </c>
      <c r="H58" s="8">
        <f t="shared" si="11"/>
        <v>2.4487744277158252</v>
      </c>
      <c r="I58" s="8">
        <f t="shared" si="11"/>
        <v>6.7426927882850523</v>
      </c>
    </row>
    <row r="60" spans="1:9">
      <c r="A60" s="24" t="s">
        <v>209</v>
      </c>
    </row>
    <row r="61" spans="1:9">
      <c r="A61" s="24" t="s">
        <v>172</v>
      </c>
      <c r="C61" s="8">
        <f>_xlfn.STDEV.S(C41,C46)</f>
        <v>2.0934582256141184E-3</v>
      </c>
      <c r="D61" s="8">
        <f t="shared" ref="D61:F61" si="12">_xlfn.STDEV.S(D41,D46)</f>
        <v>8.2530970580280555E-3</v>
      </c>
      <c r="E61" s="8">
        <f t="shared" si="12"/>
        <v>3.6125768835844091E-2</v>
      </c>
      <c r="F61" s="8">
        <f t="shared" si="12"/>
        <v>6.5106593031937693E-2</v>
      </c>
      <c r="G61" s="8">
        <f>_xlfn.STDEV.S(G41,5.8)</f>
        <v>0.489381215576421</v>
      </c>
      <c r="H61" s="8">
        <f>_xlfn.STDEV.S(H41,22.4)</f>
        <v>0.94514319754881804</v>
      </c>
      <c r="I61" s="8">
        <f>_xlfn.STDEV.S(I41,6.3)</f>
        <v>0.56123170761101582</v>
      </c>
    </row>
    <row r="62" spans="1:9">
      <c r="A62" s="24" t="s">
        <v>176</v>
      </c>
      <c r="C62" s="8">
        <f t="shared" ref="C62:I62" si="13">_xlfn.STDEV.S(C42,C47)</f>
        <v>7.084787794186985E-2</v>
      </c>
      <c r="D62" s="8">
        <f t="shared" si="13"/>
        <v>0.58995923982579102</v>
      </c>
      <c r="E62" s="8">
        <f t="shared" si="13"/>
        <v>0.34442432543317436</v>
      </c>
      <c r="F62" s="8">
        <f t="shared" si="13"/>
        <v>0.39418564592999644</v>
      </c>
      <c r="G62" s="8">
        <f t="shared" si="13"/>
        <v>3.3360664706427641</v>
      </c>
      <c r="H62" s="8">
        <f t="shared" si="13"/>
        <v>5.9675326953310259</v>
      </c>
      <c r="I62" s="8">
        <f t="shared" si="13"/>
        <v>2.3371989884726507</v>
      </c>
    </row>
    <row r="63" spans="1:9">
      <c r="A63" s="24" t="s">
        <v>180</v>
      </c>
      <c r="C63" s="8" t="s">
        <v>185</v>
      </c>
      <c r="D63" s="8">
        <f t="shared" ref="D63:I63" si="14">_xlfn.STDEV.S(D43,D48)</f>
        <v>1.2083547260878396</v>
      </c>
      <c r="E63" s="8">
        <f t="shared" si="14"/>
        <v>0.56067235448559727</v>
      </c>
      <c r="F63" s="8">
        <f t="shared" si="14"/>
        <v>2.5252577307705915</v>
      </c>
      <c r="G63" s="8">
        <f t="shared" si="14"/>
        <v>11.279830696483264</v>
      </c>
      <c r="H63" s="8">
        <f t="shared" si="14"/>
        <v>5.2330387186640301</v>
      </c>
      <c r="I63" s="8">
        <f t="shared" si="14"/>
        <v>1.1584519842346748</v>
      </c>
    </row>
    <row r="66" spans="1:10">
      <c r="A66" s="25">
        <v>42401</v>
      </c>
      <c r="B66" s="26"/>
      <c r="C66" s="2"/>
      <c r="D66" s="2"/>
      <c r="E66" s="2"/>
    </row>
    <row r="67" spans="1:10">
      <c r="A67" s="24" t="s">
        <v>187</v>
      </c>
      <c r="C67" s="3"/>
      <c r="D67" s="3"/>
      <c r="E67" s="3"/>
      <c r="F67" s="3"/>
      <c r="G67" s="3"/>
      <c r="H67" s="3"/>
      <c r="I67" s="3"/>
    </row>
    <row r="68" spans="1:10">
      <c r="A68" s="24" t="s">
        <v>172</v>
      </c>
      <c r="C68" s="8">
        <v>0.10992026162735374</v>
      </c>
      <c r="D68" s="8">
        <v>7.8904157125756505E-2</v>
      </c>
      <c r="E68" s="8">
        <v>0.20209559680746125</v>
      </c>
      <c r="F68" s="8">
        <v>0.50243598842034431</v>
      </c>
      <c r="G68" s="8">
        <v>6.2024601369902603</v>
      </c>
      <c r="H68" s="8">
        <v>21.481326912787591</v>
      </c>
      <c r="I68" s="8">
        <v>6.8160025057185969</v>
      </c>
    </row>
    <row r="69" spans="1:10">
      <c r="A69" s="24" t="s">
        <v>176</v>
      </c>
      <c r="C69" s="8">
        <v>13.387985653826838</v>
      </c>
      <c r="D69" s="8">
        <v>14.645990925812384</v>
      </c>
      <c r="E69" s="8">
        <v>21.868900439422468</v>
      </c>
      <c r="F69" s="8">
        <v>12.450150752481587</v>
      </c>
      <c r="G69" s="8">
        <v>272.63534700114639</v>
      </c>
      <c r="H69" s="8">
        <v>231.90395880149811</v>
      </c>
      <c r="I69" s="8">
        <v>37.272269736171943</v>
      </c>
    </row>
    <row r="70" spans="1:10">
      <c r="A70" s="24" t="s">
        <v>181</v>
      </c>
      <c r="C70" s="8">
        <v>23.404190169733162</v>
      </c>
      <c r="D70" s="8">
        <v>46.379435047516857</v>
      </c>
      <c r="E70" s="8">
        <v>28.373200094161955</v>
      </c>
      <c r="F70" s="8">
        <v>23.783034702209413</v>
      </c>
      <c r="G70" s="8">
        <v>734.92198035384638</v>
      </c>
      <c r="H70" s="8">
        <v>361.16491792485948</v>
      </c>
      <c r="I70" s="8">
        <v>113.10897486503004</v>
      </c>
    </row>
    <row r="72" spans="1:10">
      <c r="A72" s="24" t="s">
        <v>171</v>
      </c>
    </row>
    <row r="73" spans="1:10">
      <c r="A73" s="24" t="s">
        <v>172</v>
      </c>
      <c r="C73" s="29">
        <v>0.1</v>
      </c>
      <c r="D73" s="20">
        <v>0.15</v>
      </c>
      <c r="E73" s="20">
        <v>0.3</v>
      </c>
      <c r="F73" s="20">
        <v>0.7</v>
      </c>
      <c r="G73" s="20" t="s">
        <v>182</v>
      </c>
      <c r="H73" s="20" t="s">
        <v>183</v>
      </c>
      <c r="I73" s="20" t="s">
        <v>184</v>
      </c>
      <c r="J73" s="11"/>
    </row>
    <row r="74" spans="1:10">
      <c r="A74" s="24" t="s">
        <v>176</v>
      </c>
      <c r="C74" s="29">
        <v>11.5</v>
      </c>
      <c r="D74" s="22">
        <v>13.5</v>
      </c>
      <c r="E74" s="22">
        <v>22</v>
      </c>
      <c r="F74" s="22">
        <v>13.4</v>
      </c>
      <c r="G74" s="22">
        <v>285</v>
      </c>
      <c r="H74" s="22">
        <v>235</v>
      </c>
      <c r="I74" s="22">
        <v>43</v>
      </c>
    </row>
    <row r="75" spans="1:10">
      <c r="A75" s="24" t="s">
        <v>181</v>
      </c>
      <c r="C75" s="12">
        <v>24</v>
      </c>
      <c r="D75" s="23">
        <v>46</v>
      </c>
      <c r="E75" s="23">
        <v>35</v>
      </c>
      <c r="F75" s="23">
        <v>26</v>
      </c>
      <c r="G75" s="23">
        <v>731</v>
      </c>
      <c r="H75" s="23">
        <v>382</v>
      </c>
      <c r="I75" s="23">
        <v>110</v>
      </c>
    </row>
    <row r="76" spans="1:10">
      <c r="D76" s="23"/>
      <c r="E76" s="23"/>
      <c r="F76" s="23"/>
      <c r="G76" s="23"/>
      <c r="H76" s="23"/>
      <c r="I76" s="23"/>
    </row>
    <row r="77" spans="1:10">
      <c r="A77" s="27" t="s">
        <v>205</v>
      </c>
      <c r="B77" s="28" t="s">
        <v>207</v>
      </c>
      <c r="D77" s="23"/>
      <c r="E77" s="23"/>
      <c r="F77" s="23"/>
      <c r="G77" s="23"/>
      <c r="H77" s="23"/>
      <c r="I77" s="23"/>
    </row>
    <row r="78" spans="1:10">
      <c r="A78" s="24" t="s">
        <v>172</v>
      </c>
      <c r="C78" s="8">
        <f>100*(C73-C68)/C73</f>
        <v>-9.920261627353737</v>
      </c>
      <c r="D78" s="8">
        <f t="shared" ref="D78:F78" si="15">100*(D73-D68)/D73</f>
        <v>47.397228582828994</v>
      </c>
      <c r="E78" s="8">
        <f t="shared" si="15"/>
        <v>32.634801064179577</v>
      </c>
      <c r="F78" s="8">
        <f t="shared" si="15"/>
        <v>28.223430225665091</v>
      </c>
      <c r="G78" s="8">
        <f>100*(5.8-G68)/5.8</f>
        <v>-6.9389678791424227</v>
      </c>
      <c r="H78" s="8">
        <f>100*(22.4-H68)/22.4</f>
        <v>4.1012191393411079</v>
      </c>
      <c r="I78" s="8">
        <f>100*(6.3-I68)/6.3</f>
        <v>-8.190515963787254</v>
      </c>
    </row>
    <row r="79" spans="1:10">
      <c r="A79" s="24" t="s">
        <v>176</v>
      </c>
      <c r="C79" s="8">
        <f t="shared" ref="C79:I79" si="16">100*(C74-C69)/C74</f>
        <v>-16.417266555015988</v>
      </c>
      <c r="D79" s="8">
        <f t="shared" si="16"/>
        <v>-8.4888216726843293</v>
      </c>
      <c r="E79" s="8">
        <f t="shared" si="16"/>
        <v>0.59590709353423543</v>
      </c>
      <c r="F79" s="8">
        <f t="shared" si="16"/>
        <v>7.0884272202866665</v>
      </c>
      <c r="G79" s="8">
        <f t="shared" si="16"/>
        <v>4.3384747364398644</v>
      </c>
      <c r="H79" s="8">
        <f t="shared" si="16"/>
        <v>1.3174643397880399</v>
      </c>
      <c r="I79" s="8">
        <f t="shared" si="16"/>
        <v>13.320302939135017</v>
      </c>
    </row>
    <row r="80" spans="1:10">
      <c r="A80" s="24" t="s">
        <v>181</v>
      </c>
      <c r="C80" s="8">
        <f t="shared" ref="C80:I80" si="17">100*(C75-C70)/C75</f>
        <v>2.4825409594451564</v>
      </c>
      <c r="D80" s="8">
        <f t="shared" si="17"/>
        <v>-0.82485879894968928</v>
      </c>
      <c r="E80" s="8">
        <f t="shared" si="17"/>
        <v>18.933714016680128</v>
      </c>
      <c r="F80" s="8">
        <f t="shared" si="17"/>
        <v>8.5267896068868723</v>
      </c>
      <c r="G80" s="8">
        <f t="shared" si="17"/>
        <v>-0.5365226202252229</v>
      </c>
      <c r="H80" s="8">
        <f t="shared" si="17"/>
        <v>5.4542099673142719</v>
      </c>
      <c r="I80" s="8">
        <f t="shared" si="17"/>
        <v>-2.8263407863909409</v>
      </c>
    </row>
    <row r="82" spans="1:10">
      <c r="A82" s="27" t="s">
        <v>206</v>
      </c>
      <c r="B82" s="28" t="s">
        <v>208</v>
      </c>
    </row>
    <row r="83" spans="1:10">
      <c r="A83" s="24" t="s">
        <v>172</v>
      </c>
      <c r="C83" s="8">
        <f>100*_xlfn.STDEV.S(C68,C73)/((C68+C73)/2)</f>
        <v>6.6831893343376745</v>
      </c>
      <c r="D83" s="8">
        <f t="shared" ref="D83:F83" si="18">100*_xlfn.STDEV.S(D68,D73)/((D68+D73)/2)</f>
        <v>43.924368383516907</v>
      </c>
      <c r="E83" s="8">
        <f t="shared" si="18"/>
        <v>27.575970729738785</v>
      </c>
      <c r="F83" s="8">
        <f t="shared" si="18"/>
        <v>23.235973249589247</v>
      </c>
      <c r="G83" s="8">
        <f>100*_xlfn.STDEV.S(G68,5.8)/((G68+5.8)/2)</f>
        <v>4.7420660227152736</v>
      </c>
      <c r="H83" s="8">
        <f>100*_xlfn.STDEV.S(H68,22.4)/((H68+22.4)/2)</f>
        <v>2.9607125188011234</v>
      </c>
      <c r="I83" s="8">
        <f>100*_xlfn.STDEV.S(I68,6.3)/((I68+6.3)/2)</f>
        <v>5.5637206647953423</v>
      </c>
    </row>
    <row r="84" spans="1:10">
      <c r="A84" s="24" t="s">
        <v>176</v>
      </c>
      <c r="C84" s="8">
        <f t="shared" ref="C84:I84" si="19">100*_xlfn.STDEV.S(C69,C74)/((C69+C74)/2)</f>
        <v>10.728127837847746</v>
      </c>
      <c r="D84" s="8">
        <f t="shared" si="19"/>
        <v>5.7581057064651748</v>
      </c>
      <c r="E84" s="8">
        <f t="shared" si="19"/>
        <v>0.42262918544292427</v>
      </c>
      <c r="F84" s="8">
        <f t="shared" si="19"/>
        <v>5.1964481790167687</v>
      </c>
      <c r="G84" s="8">
        <f t="shared" si="19"/>
        <v>3.1357875821634376</v>
      </c>
      <c r="H84" s="8">
        <f t="shared" si="19"/>
        <v>0.93776533054600031</v>
      </c>
      <c r="I84" s="8">
        <f t="shared" si="19"/>
        <v>10.09094902553923</v>
      </c>
    </row>
    <row r="85" spans="1:10">
      <c r="A85" s="24" t="s">
        <v>181</v>
      </c>
      <c r="C85" s="8">
        <f t="shared" ref="C85:I85" si="20">100*_xlfn.STDEV.S(C70,C75)/((C70+C75)/2)</f>
        <v>1.7774849428744421</v>
      </c>
      <c r="D85" s="8">
        <f t="shared" si="20"/>
        <v>0.58086758158026075</v>
      </c>
      <c r="E85" s="8">
        <f t="shared" si="20"/>
        <v>14.788128559144951</v>
      </c>
      <c r="F85" s="8">
        <f t="shared" si="20"/>
        <v>6.2978530943329787</v>
      </c>
      <c r="G85" s="8">
        <f t="shared" si="20"/>
        <v>0.37836377938964755</v>
      </c>
      <c r="H85" s="8">
        <f t="shared" si="20"/>
        <v>3.9648340406186242</v>
      </c>
      <c r="I85" s="8">
        <f t="shared" si="20"/>
        <v>1.9706757300383628</v>
      </c>
    </row>
    <row r="87" spans="1:10">
      <c r="A87" s="24" t="s">
        <v>209</v>
      </c>
    </row>
    <row r="88" spans="1:10">
      <c r="A88" s="24" t="s">
        <v>172</v>
      </c>
      <c r="C88" s="8">
        <f>_xlfn.STDEV.S(C68,C73)</f>
        <v>7.0146842678465238E-3</v>
      </c>
      <c r="D88" s="8">
        <f t="shared" ref="D88:F88" si="21">_xlfn.STDEV.S(D68,D73)</f>
        <v>5.0272352610550824E-2</v>
      </c>
      <c r="E88" s="8">
        <f t="shared" si="21"/>
        <v>6.9228867405466382E-2</v>
      </c>
      <c r="F88" s="8">
        <f t="shared" si="21"/>
        <v>0.13969885230639262</v>
      </c>
      <c r="G88" s="8">
        <f>_xlfn.STDEV.S(G68,5.8)</f>
        <v>0.28458229202308011</v>
      </c>
      <c r="H88" s="8">
        <f>_xlfn.STDEV.S(H68,22.4)</f>
        <v>0.64959996966147426</v>
      </c>
      <c r="I88" s="8">
        <f>_xlfn.STDEV.S(I68,6.3)</f>
        <v>0.36486887090287023</v>
      </c>
    </row>
    <row r="89" spans="1:10">
      <c r="A89" s="24" t="s">
        <v>176</v>
      </c>
      <c r="C89" s="8">
        <f t="shared" ref="C89:I89" si="22">_xlfn.STDEV.S(C69,C74)</f>
        <v>1.3350074586038752</v>
      </c>
      <c r="D89" s="8">
        <f t="shared" si="22"/>
        <v>0.81033795482018667</v>
      </c>
      <c r="E89" s="8">
        <f t="shared" si="22"/>
        <v>9.2701388294949311E-2</v>
      </c>
      <c r="F89" s="8">
        <f t="shared" si="22"/>
        <v>0.67164484402520952</v>
      </c>
      <c r="G89" s="8">
        <f t="shared" si="22"/>
        <v>8.7431299825079716</v>
      </c>
      <c r="H89" s="8">
        <f t="shared" si="22"/>
        <v>2.189231726293615</v>
      </c>
      <c r="I89" s="8">
        <f t="shared" si="22"/>
        <v>4.0501169103602326</v>
      </c>
    </row>
    <row r="90" spans="1:10">
      <c r="A90" s="24" t="s">
        <v>181</v>
      </c>
      <c r="C90" s="8">
        <f t="shared" ref="C90:I90" si="23">_xlfn.STDEV.S(C70,C75)</f>
        <v>0.42130117127928673</v>
      </c>
      <c r="D90" s="8">
        <f t="shared" si="23"/>
        <v>0.26830109511900951</v>
      </c>
      <c r="E90" s="8">
        <f t="shared" si="23"/>
        <v>4.6858551509844197</v>
      </c>
      <c r="F90" s="8">
        <f t="shared" si="23"/>
        <v>1.5676311957229778</v>
      </c>
      <c r="G90" s="8">
        <f t="shared" si="23"/>
        <v>2.77325890388519</v>
      </c>
      <c r="H90" s="8">
        <f t="shared" si="23"/>
        <v>14.732627821910146</v>
      </c>
      <c r="I90" s="8">
        <f t="shared" si="23"/>
        <v>2.198377209601269</v>
      </c>
    </row>
    <row r="93" spans="1:10">
      <c r="A93" s="25">
        <v>42522</v>
      </c>
      <c r="B93" s="26"/>
    </row>
    <row r="94" spans="1:10">
      <c r="A94" s="24" t="s">
        <v>179</v>
      </c>
      <c r="C94" s="2"/>
      <c r="D94" s="2"/>
      <c r="E94" s="2"/>
      <c r="F94" s="2"/>
      <c r="G94" s="2"/>
      <c r="H94" s="2"/>
      <c r="I94" s="2"/>
    </row>
    <row r="95" spans="1:10">
      <c r="A95" s="24" t="s">
        <v>172</v>
      </c>
      <c r="C95" s="8">
        <v>0.103929375</v>
      </c>
      <c r="D95" s="8">
        <v>8.5903125000000011E-2</v>
      </c>
      <c r="E95" s="8">
        <v>0.33752083333333338</v>
      </c>
      <c r="F95" s="8">
        <v>0.593872291666666</v>
      </c>
      <c r="G95" s="8">
        <v>6.1048062500000002</v>
      </c>
      <c r="H95" s="8">
        <v>9</v>
      </c>
      <c r="I95" s="8">
        <v>5.4758151041666663</v>
      </c>
    </row>
    <row r="96" spans="1:10">
      <c r="A96" s="24" t="s">
        <v>176</v>
      </c>
      <c r="C96" s="8">
        <v>11.1252829391891</v>
      </c>
      <c r="D96" s="8">
        <v>15.0115139358108</v>
      </c>
      <c r="E96" s="8">
        <v>22.966511824324328</v>
      </c>
      <c r="F96" s="8">
        <v>13.549818412162164</v>
      </c>
      <c r="G96" s="8">
        <v>274.55667652027029</v>
      </c>
      <c r="H96" s="8">
        <v>242.23147804054057</v>
      </c>
      <c r="I96" s="8">
        <v>38.433148437499995</v>
      </c>
      <c r="J96" s="4"/>
    </row>
    <row r="97" spans="1:10">
      <c r="A97" s="24" t="s">
        <v>180</v>
      </c>
      <c r="C97" s="8">
        <v>20.500183534376099</v>
      </c>
      <c r="D97" s="8">
        <v>47.080434478835294</v>
      </c>
      <c r="E97" s="8">
        <v>240.72444840464254</v>
      </c>
      <c r="F97" s="8">
        <v>83.283161511068101</v>
      </c>
      <c r="G97" s="8">
        <v>488.57455057989699</v>
      </c>
      <c r="H97" s="8">
        <v>215.31384100551224</v>
      </c>
      <c r="I97" s="8">
        <v>16.914961845965099</v>
      </c>
      <c r="J97" s="4"/>
    </row>
    <row r="98" spans="1:10">
      <c r="J98" s="4"/>
    </row>
    <row r="99" spans="1:10">
      <c r="A99" s="24" t="s">
        <v>171</v>
      </c>
      <c r="C99" s="2"/>
      <c r="D99" s="2"/>
    </row>
    <row r="100" spans="1:10">
      <c r="A100" s="24" t="s">
        <v>172</v>
      </c>
      <c r="C100" s="12">
        <v>0.1</v>
      </c>
      <c r="D100" s="12">
        <v>0.15</v>
      </c>
      <c r="E100" s="12">
        <v>0.3</v>
      </c>
      <c r="F100" s="12">
        <v>0.47</v>
      </c>
      <c r="G100" s="12" t="s">
        <v>173</v>
      </c>
      <c r="H100" s="12" t="s">
        <v>174</v>
      </c>
      <c r="I100" s="12" t="s">
        <v>175</v>
      </c>
    </row>
    <row r="101" spans="1:10">
      <c r="A101" s="24" t="s">
        <v>176</v>
      </c>
      <c r="C101" s="12">
        <v>11.5</v>
      </c>
      <c r="D101" s="12">
        <v>13.5</v>
      </c>
      <c r="E101" s="12">
        <v>22</v>
      </c>
      <c r="F101" s="12">
        <v>13.4</v>
      </c>
      <c r="G101" s="12">
        <v>285</v>
      </c>
      <c r="H101" s="12">
        <v>235</v>
      </c>
      <c r="I101" s="12">
        <v>43</v>
      </c>
    </row>
    <row r="102" spans="1:10">
      <c r="A102" s="24" t="s">
        <v>180</v>
      </c>
      <c r="C102" s="12" t="s">
        <v>185</v>
      </c>
      <c r="D102" s="12">
        <v>52</v>
      </c>
      <c r="E102" s="12">
        <v>240</v>
      </c>
      <c r="F102" s="12">
        <v>80</v>
      </c>
      <c r="G102" s="12">
        <v>475</v>
      </c>
      <c r="H102" s="12">
        <v>210</v>
      </c>
      <c r="I102" s="12">
        <v>18</v>
      </c>
      <c r="J102" s="4"/>
    </row>
    <row r="104" spans="1:10">
      <c r="A104" s="27" t="s">
        <v>205</v>
      </c>
      <c r="B104" s="28" t="s">
        <v>207</v>
      </c>
    </row>
    <row r="105" spans="1:10">
      <c r="A105" s="24" t="s">
        <v>172</v>
      </c>
      <c r="C105" s="8">
        <f>100*(C100-C95)/C100</f>
        <v>-3.9293749999999985</v>
      </c>
      <c r="D105" s="8">
        <f t="shared" ref="D105:F105" si="24">100*(D100-D95)/D100</f>
        <v>42.731249999999996</v>
      </c>
      <c r="E105" s="8">
        <f t="shared" si="24"/>
        <v>-12.506944444444466</v>
      </c>
      <c r="F105" s="8">
        <f t="shared" si="24"/>
        <v>-26.355806737588516</v>
      </c>
      <c r="G105" s="8">
        <f>100*(5.8-G95)/5.8</f>
        <v>-5.2552801724137996</v>
      </c>
      <c r="H105" s="8">
        <f>100*(22.4-H95)/22.4</f>
        <v>59.821428571428562</v>
      </c>
      <c r="I105" s="8">
        <f>100*(6.3-I95)/6.3</f>
        <v>13.082299933862437</v>
      </c>
    </row>
    <row r="106" spans="1:10">
      <c r="A106" s="24" t="s">
        <v>176</v>
      </c>
      <c r="C106" s="8">
        <f t="shared" ref="C106:I106" si="25">100*(C101-C96)/C101</f>
        <v>3.2584092244426075</v>
      </c>
      <c r="D106" s="8">
        <f t="shared" si="25"/>
        <v>-11.196399524524445</v>
      </c>
      <c r="E106" s="8">
        <f t="shared" si="25"/>
        <v>-4.3932355651105839</v>
      </c>
      <c r="F106" s="8">
        <f t="shared" si="25"/>
        <v>-1.1180478519564458</v>
      </c>
      <c r="G106" s="8">
        <f t="shared" si="25"/>
        <v>3.6643240279753382</v>
      </c>
      <c r="H106" s="8">
        <f t="shared" si="25"/>
        <v>-3.0772246981023685</v>
      </c>
      <c r="I106" s="8">
        <f t="shared" si="25"/>
        <v>10.62058502906978</v>
      </c>
    </row>
    <row r="107" spans="1:10">
      <c r="A107" s="24" t="s">
        <v>180</v>
      </c>
      <c r="C107" s="8" t="s">
        <v>185</v>
      </c>
      <c r="D107" s="8">
        <f t="shared" ref="D107:I107" si="26">100*(D102-D97)/D102</f>
        <v>9.4607029253167436</v>
      </c>
      <c r="E107" s="8">
        <f t="shared" si="26"/>
        <v>-0.30185350193439336</v>
      </c>
      <c r="F107" s="8">
        <f t="shared" si="26"/>
        <v>-4.1039518888351267</v>
      </c>
      <c r="G107" s="8">
        <f t="shared" si="26"/>
        <v>-2.8578001220835776</v>
      </c>
      <c r="H107" s="8">
        <f t="shared" si="26"/>
        <v>-2.5304004788153547</v>
      </c>
      <c r="I107" s="8">
        <f t="shared" si="26"/>
        <v>6.0279897446383401</v>
      </c>
    </row>
    <row r="109" spans="1:10">
      <c r="A109" s="27" t="s">
        <v>206</v>
      </c>
      <c r="B109" s="28" t="s">
        <v>208</v>
      </c>
    </row>
    <row r="110" spans="1:10">
      <c r="A110" s="24" t="s">
        <v>172</v>
      </c>
      <c r="C110" s="8">
        <f>100*_xlfn.STDEV.S(C100,C95)/((C95+C100)/2)</f>
        <v>2.7249509378674741</v>
      </c>
      <c r="D110" s="8">
        <f t="shared" ref="D110:F110" si="27">100*_xlfn.STDEV.S(D100,D95)/((D95+D100)/2)</f>
        <v>38.425379032487605</v>
      </c>
      <c r="E110" s="8">
        <f t="shared" si="27"/>
        <v>8.3232529192965856</v>
      </c>
      <c r="F110" s="8">
        <f t="shared" si="27"/>
        <v>16.466438335638479</v>
      </c>
      <c r="G110" s="8">
        <f>100*_xlfn.STDEV.S(5.8,G95)/((G95+5.8)/2)</f>
        <v>3.6209000263745135</v>
      </c>
      <c r="H110" s="8">
        <f>100*_xlfn.STDEV.S(22.4,H95)/((H95+22.4)/2)</f>
        <v>60.351788967514253</v>
      </c>
      <c r="I110" s="8">
        <f>100*_xlfn.STDEV.S(6.3,I95)/((I95+6.3)/2)</f>
        <v>9.898027841640781</v>
      </c>
    </row>
    <row r="111" spans="1:10">
      <c r="A111" s="24" t="s">
        <v>176</v>
      </c>
      <c r="C111" s="8">
        <f t="shared" ref="C111:I111" si="28">100*_xlfn.STDEV.S(C101,C96)/((C96+C101)/2)</f>
        <v>2.3422025301326523</v>
      </c>
      <c r="D111" s="8">
        <f t="shared" si="28"/>
        <v>7.4973342788883421</v>
      </c>
      <c r="E111" s="8">
        <f t="shared" si="28"/>
        <v>3.0397157233219882</v>
      </c>
      <c r="F111" s="8">
        <f t="shared" si="28"/>
        <v>0.78618425969548345</v>
      </c>
      <c r="G111" s="8">
        <f t="shared" si="28"/>
        <v>2.6394269465477689</v>
      </c>
      <c r="H111" s="8">
        <f t="shared" si="28"/>
        <v>2.1429546858321271</v>
      </c>
      <c r="I111" s="8">
        <f t="shared" si="28"/>
        <v>7.9310496289961989</v>
      </c>
    </row>
    <row r="112" spans="1:10">
      <c r="A112" s="24" t="s">
        <v>180</v>
      </c>
      <c r="C112" s="8" t="s">
        <v>185</v>
      </c>
      <c r="D112" s="8">
        <f t="shared" ref="D112:I112" si="29">100*_xlfn.STDEV.S(D102,D97)/((D97+D102)/2)</f>
        <v>7.021887134033868</v>
      </c>
      <c r="E112" s="8">
        <f t="shared" si="29"/>
        <v>0.21312100153946392</v>
      </c>
      <c r="F112" s="8">
        <f t="shared" si="29"/>
        <v>2.8435825797622876</v>
      </c>
      <c r="G112" s="8">
        <f t="shared" si="29"/>
        <v>1.9923018433453425</v>
      </c>
      <c r="H112" s="8">
        <f t="shared" si="29"/>
        <v>1.7669084082763968</v>
      </c>
      <c r="I112" s="8">
        <f t="shared" si="29"/>
        <v>4.3948943146439508</v>
      </c>
    </row>
    <row r="114" spans="1:9">
      <c r="A114" s="24" t="s">
        <v>209</v>
      </c>
    </row>
    <row r="115" spans="1:9">
      <c r="A115" s="24" t="s">
        <v>172</v>
      </c>
      <c r="C115" s="8">
        <f>_xlfn.STDEV.S(C95,C100)</f>
        <v>2.7784877083248893E-3</v>
      </c>
      <c r="D115" s="8">
        <f t="shared" ref="D115:F115" si="30">_xlfn.STDEV.S(D95,D100)</f>
        <v>4.5323334965366516E-2</v>
      </c>
      <c r="E115" s="8">
        <f t="shared" si="30"/>
        <v>2.6531235685770295E-2</v>
      </c>
      <c r="F115" s="8">
        <f t="shared" si="30"/>
        <v>8.7590937438617747E-2</v>
      </c>
      <c r="G115" s="8">
        <f>_xlfn.STDEV.S(G95,5.8)</f>
        <v>0.21553056632304238</v>
      </c>
      <c r="H115" s="8">
        <f>_xlfn.STDEV.S(H95,22.4)</f>
        <v>9.4752308678997377</v>
      </c>
      <c r="I115" s="8">
        <f>_xlfn.STDEV.S(I95,6.3)</f>
        <v>0.58278672879527849</v>
      </c>
    </row>
    <row r="116" spans="1:9">
      <c r="A116" s="24" t="s">
        <v>176</v>
      </c>
      <c r="C116" s="8">
        <f t="shared" ref="C116:I116" si="31">_xlfn.STDEV.S(C96,C101)</f>
        <v>0.2649649747256792</v>
      </c>
      <c r="D116" s="8">
        <f t="shared" si="31"/>
        <v>1.0688017538697849</v>
      </c>
      <c r="E116" s="8">
        <f t="shared" si="31"/>
        <v>0.6834270650767138</v>
      </c>
      <c r="F116" s="8">
        <f t="shared" si="31"/>
        <v>0.1059376151864671</v>
      </c>
      <c r="G116" s="8">
        <f t="shared" si="31"/>
        <v>7.3845448506415723</v>
      </c>
      <c r="H116" s="8">
        <f t="shared" si="31"/>
        <v>5.1134271604678414</v>
      </c>
      <c r="I116" s="8">
        <f t="shared" si="31"/>
        <v>3.2292517085161339</v>
      </c>
    </row>
    <row r="117" spans="1:9">
      <c r="A117" s="24" t="s">
        <v>180</v>
      </c>
      <c r="C117" s="8" t="s">
        <v>185</v>
      </c>
      <c r="D117" s="8">
        <f t="shared" ref="D117:I117" si="32">_xlfn.STDEV.S(D97,D102)</f>
        <v>3.4786581405070955</v>
      </c>
      <c r="E117" s="8">
        <f t="shared" si="32"/>
        <v>0.51226237954251885</v>
      </c>
      <c r="F117" s="8">
        <f t="shared" si="32"/>
        <v>2.3215457682069265</v>
      </c>
      <c r="G117" s="8">
        <f t="shared" si="32"/>
        <v>9.5986567666049449</v>
      </c>
      <c r="H117" s="8">
        <f t="shared" si="32"/>
        <v>3.7574530091448506</v>
      </c>
      <c r="I117" s="8">
        <f t="shared" si="32"/>
        <v>0.76723783656421229</v>
      </c>
    </row>
    <row r="120" spans="1:9">
      <c r="A120" s="25">
        <v>42948</v>
      </c>
      <c r="B120" s="26"/>
      <c r="C120" s="2"/>
      <c r="D120" s="2"/>
      <c r="E120" s="2"/>
    </row>
    <row r="121" spans="1:9">
      <c r="A121" s="24" t="s">
        <v>179</v>
      </c>
      <c r="C121" s="2"/>
      <c r="D121" s="2"/>
      <c r="E121" s="2"/>
    </row>
    <row r="122" spans="1:9">
      <c r="A122" s="24" t="s">
        <v>177</v>
      </c>
      <c r="C122" s="8">
        <v>9.7122302157999996E-2</v>
      </c>
      <c r="D122" s="8">
        <v>0.12780575539568342</v>
      </c>
      <c r="E122" s="8">
        <v>0.30215827338130002</v>
      </c>
      <c r="F122" s="8">
        <v>0.48993525179856107</v>
      </c>
      <c r="G122" s="8">
        <v>5.2071942446043158</v>
      </c>
      <c r="H122" s="8">
        <v>21.303597122302154</v>
      </c>
      <c r="I122" s="8">
        <v>5.3931654676258987</v>
      </c>
    </row>
    <row r="123" spans="1:9">
      <c r="A123" s="24" t="s">
        <v>178</v>
      </c>
      <c r="C123" s="8">
        <v>12.133082706766915</v>
      </c>
      <c r="D123" s="8">
        <v>15.0452862926547</v>
      </c>
      <c r="E123" s="8">
        <v>21.056824754193173</v>
      </c>
      <c r="F123" s="8">
        <v>13.150471370734524</v>
      </c>
      <c r="G123" s="8">
        <v>287.81954887218041</v>
      </c>
      <c r="H123" s="8">
        <v>247.10381723539601</v>
      </c>
      <c r="I123" s="8">
        <v>41.303209947946797</v>
      </c>
    </row>
    <row r="125" spans="1:9">
      <c r="A125" s="24" t="s">
        <v>171</v>
      </c>
      <c r="C125" s="2"/>
      <c r="D125" s="2"/>
    </row>
    <row r="126" spans="1:9">
      <c r="A126" s="24" t="s">
        <v>172</v>
      </c>
      <c r="C126" s="12">
        <v>0.1</v>
      </c>
      <c r="D126" s="12">
        <v>0.15</v>
      </c>
      <c r="E126" s="12">
        <v>0.3</v>
      </c>
      <c r="F126" s="12">
        <v>0.47</v>
      </c>
      <c r="G126" s="12" t="s">
        <v>173</v>
      </c>
      <c r="H126" s="12" t="s">
        <v>174</v>
      </c>
      <c r="I126" s="12" t="s">
        <v>175</v>
      </c>
    </row>
    <row r="127" spans="1:9">
      <c r="A127" s="24" t="s">
        <v>176</v>
      </c>
      <c r="C127" s="12">
        <v>11.5</v>
      </c>
      <c r="D127" s="12">
        <v>13.5</v>
      </c>
      <c r="E127" s="12">
        <v>22</v>
      </c>
      <c r="F127" s="12">
        <v>13.4</v>
      </c>
      <c r="G127" s="12">
        <v>285</v>
      </c>
      <c r="H127" s="12">
        <v>235</v>
      </c>
      <c r="I127" s="12">
        <v>43</v>
      </c>
    </row>
    <row r="129" spans="1:9">
      <c r="A129" s="27" t="s">
        <v>205</v>
      </c>
      <c r="B129" s="28" t="s">
        <v>207</v>
      </c>
    </row>
    <row r="130" spans="1:9">
      <c r="A130" s="24" t="s">
        <v>177</v>
      </c>
      <c r="C130" s="8">
        <f>100*(C126-C122)/C126</f>
        <v>2.8776978420000097</v>
      </c>
      <c r="D130" s="8">
        <f t="shared" ref="D130:H131" si="33">100*(D126-D122)/D126</f>
        <v>14.796163069544383</v>
      </c>
      <c r="E130" s="8">
        <f t="shared" si="33"/>
        <v>-0.71942446043334518</v>
      </c>
      <c r="F130" s="8">
        <f t="shared" si="33"/>
        <v>-4.2415429358640626</v>
      </c>
      <c r="G130" s="8">
        <f>100*(5.8-G122)/5.8</f>
        <v>10.220788886132484</v>
      </c>
      <c r="H130" s="8">
        <f>100*(22.4-H122)/22.4</f>
        <v>4.894655704008235</v>
      </c>
      <c r="I130" s="8">
        <f>100*(6.3-I122)/6.3</f>
        <v>14.394198926573035</v>
      </c>
    </row>
    <row r="131" spans="1:9">
      <c r="A131" s="24" t="s">
        <v>178</v>
      </c>
      <c r="C131" s="8">
        <f>100*(C127-C123)/C127</f>
        <v>-5.5050670153644798</v>
      </c>
      <c r="D131" s="8">
        <f t="shared" si="33"/>
        <v>-11.446565130775552</v>
      </c>
      <c r="E131" s="8">
        <f t="shared" si="33"/>
        <v>4.2871602082128524</v>
      </c>
      <c r="F131" s="8">
        <f t="shared" si="33"/>
        <v>1.8621539497423643</v>
      </c>
      <c r="G131" s="8">
        <f t="shared" si="33"/>
        <v>-0.98931539374751065</v>
      </c>
      <c r="H131" s="8">
        <f t="shared" si="33"/>
        <v>-5.1505605257004294</v>
      </c>
      <c r="I131" s="8">
        <f>100*(I127-I123)/I127</f>
        <v>3.9460233768679132</v>
      </c>
    </row>
    <row r="133" spans="1:9">
      <c r="A133" s="27" t="s">
        <v>206</v>
      </c>
      <c r="B133" s="28" t="s">
        <v>208</v>
      </c>
    </row>
    <row r="134" spans="1:9">
      <c r="A134" s="24" t="s">
        <v>177</v>
      </c>
      <c r="C134" s="8">
        <f>100*_xlfn.STDEV.S(C126,C122)/((C126+C122)/2)</f>
        <v>2.064545346729068</v>
      </c>
      <c r="D134" s="8">
        <f t="shared" ref="D134:I135" si="34">100*_xlfn.STDEV.S(D126,D122)/((D126+D122)/2)</f>
        <v>11.298326660419535</v>
      </c>
      <c r="E134" s="8">
        <f t="shared" si="34"/>
        <v>0.50688658149691979</v>
      </c>
      <c r="F134" s="8">
        <f t="shared" si="34"/>
        <v>2.9369380288957108</v>
      </c>
      <c r="G134" s="8">
        <f>100*_xlfn.STDEV.S(5.8,G122)/((5.8+G122)/2)</f>
        <v>7.6164181398394222</v>
      </c>
      <c r="H134" s="8">
        <f>100*_xlfn.STDEV.S(22.4,H122)/((22.4+H122)/2)</f>
        <v>3.5478723070003988</v>
      </c>
      <c r="I134" s="8">
        <f>100*_xlfn.STDEV.S(6.3,I122)/((6.3+I122)/2)</f>
        <v>10.967583568900775</v>
      </c>
    </row>
    <row r="135" spans="1:9">
      <c r="A135" s="24" t="s">
        <v>178</v>
      </c>
      <c r="C135" s="8">
        <f>100*_xlfn.STDEV.S(C127,C123)/((C127+C123)/2)</f>
        <v>3.7883934191847231</v>
      </c>
      <c r="D135" s="8">
        <f t="shared" si="34"/>
        <v>7.655781800247194</v>
      </c>
      <c r="E135" s="8">
        <f t="shared" si="34"/>
        <v>3.0978857171410286</v>
      </c>
      <c r="F135" s="8">
        <f t="shared" si="34"/>
        <v>1.3291167858382267</v>
      </c>
      <c r="G135" s="8">
        <f t="shared" si="34"/>
        <v>0.69610827051243962</v>
      </c>
      <c r="H135" s="8">
        <f t="shared" si="34"/>
        <v>3.5505594187038718</v>
      </c>
      <c r="I135" s="8">
        <f t="shared" si="34"/>
        <v>2.8464200895731513</v>
      </c>
    </row>
    <row r="137" spans="1:9">
      <c r="A137" s="24" t="s">
        <v>209</v>
      </c>
    </row>
    <row r="138" spans="1:9">
      <c r="A138" s="24" t="s">
        <v>177</v>
      </c>
      <c r="C138" s="8">
        <f>_xlfn.STDEV.S(C122,C126)</f>
        <v>2.0348396582841009E-3</v>
      </c>
      <c r="D138" s="8">
        <f t="shared" ref="D138:I139" si="35">_xlfn.STDEV.S(D122,D126)</f>
        <v>1.5693700863025191E-2</v>
      </c>
      <c r="E138" s="8">
        <f t="shared" si="35"/>
        <v>1.5261297435716743E-3</v>
      </c>
      <c r="F138" s="8">
        <f t="shared" si="35"/>
        <v>1.4096351731423868E-2</v>
      </c>
      <c r="G138" s="8">
        <f>_xlfn.STDEV.S(G122,5.8)</f>
        <v>0.41917696956670197</v>
      </c>
      <c r="H138" s="8">
        <f>_xlfn.STDEV.S(H122,22.4)</f>
        <v>0.7752739097325908</v>
      </c>
      <c r="I138" s="8">
        <f>_xlfn.STDEV.S(I122,6.3)</f>
        <v>0.64122884725585871</v>
      </c>
    </row>
    <row r="139" spans="1:9">
      <c r="A139" s="24" t="s">
        <v>178</v>
      </c>
      <c r="C139" s="8">
        <f>_xlfn.STDEV.S(C123,C127)</f>
        <v>0.44765707500682028</v>
      </c>
      <c r="D139" s="8">
        <f t="shared" si="35"/>
        <v>1.0926824164107578</v>
      </c>
      <c r="E139" s="8">
        <f t="shared" si="35"/>
        <v>0.66692561215729651</v>
      </c>
      <c r="F139" s="8">
        <f t="shared" si="35"/>
        <v>0.17644338585380265</v>
      </c>
      <c r="G139" s="8">
        <f t="shared" si="35"/>
        <v>1.9937221274056467</v>
      </c>
      <c r="H139" s="8">
        <f t="shared" si="35"/>
        <v>8.5586912453911275</v>
      </c>
      <c r="I139" s="8">
        <f t="shared" si="35"/>
        <v>1.1998117520566944</v>
      </c>
    </row>
    <row r="142" spans="1:9">
      <c r="A142" s="25">
        <v>43009</v>
      </c>
      <c r="B142" s="26"/>
    </row>
    <row r="143" spans="1:9">
      <c r="A143" s="24" t="s">
        <v>179</v>
      </c>
    </row>
    <row r="144" spans="1:9">
      <c r="A144" s="24" t="s">
        <v>197</v>
      </c>
      <c r="C144" s="8">
        <v>0.15510791366906473</v>
      </c>
      <c r="D144" s="8">
        <v>0.10723021582733812</v>
      </c>
      <c r="E144" s="8">
        <v>0.48705035971222999</v>
      </c>
      <c r="F144" s="8">
        <v>0.54604316546762588</v>
      </c>
      <c r="G144" s="8">
        <v>5.4593525179856099</v>
      </c>
      <c r="H144" s="8">
        <v>21.713582733812899</v>
      </c>
      <c r="I144" s="8">
        <v>5.2946402877697842</v>
      </c>
    </row>
    <row r="145" spans="1:9">
      <c r="A145" s="24" t="s">
        <v>198</v>
      </c>
      <c r="C145" s="8">
        <v>12.392076344707901</v>
      </c>
      <c r="D145" s="8">
        <v>14.178759398496201</v>
      </c>
      <c r="E145" s="8">
        <v>21.247686524002308</v>
      </c>
      <c r="F145" s="8">
        <v>14.163967611336</v>
      </c>
      <c r="G145" s="8">
        <v>281.23481781376512</v>
      </c>
      <c r="H145" s="8">
        <v>249.18266049739699</v>
      </c>
      <c r="I145" s="8">
        <v>40.403528050896462</v>
      </c>
    </row>
    <row r="147" spans="1:9">
      <c r="A147" s="24" t="s">
        <v>171</v>
      </c>
    </row>
    <row r="148" spans="1:9">
      <c r="A148" s="24" t="s">
        <v>172</v>
      </c>
      <c r="C148" s="12">
        <v>0.1</v>
      </c>
      <c r="D148" s="12">
        <v>0.15</v>
      </c>
      <c r="E148" s="12">
        <v>0.3</v>
      </c>
      <c r="F148" s="12">
        <v>0.47</v>
      </c>
      <c r="G148" s="12" t="s">
        <v>173</v>
      </c>
      <c r="H148" s="12" t="s">
        <v>174</v>
      </c>
      <c r="I148" s="12" t="s">
        <v>175</v>
      </c>
    </row>
    <row r="149" spans="1:9">
      <c r="A149" s="24" t="s">
        <v>176</v>
      </c>
      <c r="C149" s="12">
        <v>11.5</v>
      </c>
      <c r="D149" s="12">
        <v>13.5</v>
      </c>
      <c r="E149" s="12">
        <v>22</v>
      </c>
      <c r="F149" s="12">
        <v>13.4</v>
      </c>
      <c r="G149" s="12">
        <v>285</v>
      </c>
      <c r="H149" s="12">
        <v>235</v>
      </c>
      <c r="I149" s="12">
        <v>43</v>
      </c>
    </row>
    <row r="151" spans="1:9">
      <c r="A151" s="27" t="s">
        <v>205</v>
      </c>
      <c r="B151" s="28" t="s">
        <v>207</v>
      </c>
    </row>
    <row r="152" spans="1:9">
      <c r="A152" s="24" t="s">
        <v>177</v>
      </c>
      <c r="C152" s="8">
        <f>100*(C148-C144)/C148</f>
        <v>-55.107913669064722</v>
      </c>
      <c r="D152" s="8">
        <f t="shared" ref="D152:I153" si="36">100*(D148-D144)/D148</f>
        <v>28.513189448441253</v>
      </c>
      <c r="E152" s="8">
        <f t="shared" si="36"/>
        <v>-62.350119904076671</v>
      </c>
      <c r="F152" s="8">
        <f t="shared" si="36"/>
        <v>-16.179396908005511</v>
      </c>
      <c r="G152" s="8">
        <f>100*(5.8-G144)/5.8</f>
        <v>5.8732324485239635</v>
      </c>
      <c r="H152" s="8">
        <f>100*(22.4-H144)/22.4</f>
        <v>3.064362795478123</v>
      </c>
      <c r="I152" s="8">
        <f>100*(6.3-I144)/6.3</f>
        <v>15.958090670320884</v>
      </c>
    </row>
    <row r="153" spans="1:9">
      <c r="A153" s="24" t="s">
        <v>178</v>
      </c>
      <c r="C153" s="8">
        <f>100*(C149-C145)/C149</f>
        <v>-7.7571856061556597</v>
      </c>
      <c r="D153" s="8">
        <f t="shared" si="36"/>
        <v>-5.0278473962681538</v>
      </c>
      <c r="E153" s="8">
        <f t="shared" si="36"/>
        <v>3.4196067090804179</v>
      </c>
      <c r="F153" s="8">
        <f t="shared" si="36"/>
        <v>-5.7012508308656686</v>
      </c>
      <c r="G153" s="8">
        <f t="shared" si="36"/>
        <v>1.3211165565736425</v>
      </c>
      <c r="H153" s="8">
        <f t="shared" si="36"/>
        <v>-6.0351746797434025</v>
      </c>
      <c r="I153" s="8">
        <f t="shared" si="36"/>
        <v>6.0383068583803219</v>
      </c>
    </row>
    <row r="155" spans="1:9">
      <c r="A155" s="27" t="s">
        <v>206</v>
      </c>
      <c r="B155" s="28" t="s">
        <v>208</v>
      </c>
    </row>
    <row r="156" spans="1:9">
      <c r="A156" s="24" t="s">
        <v>177</v>
      </c>
      <c r="C156" s="8">
        <f>100*_xlfn.STDEV.S(C144,C148)/((C148+C144)/2)</f>
        <v>30.549565391364776</v>
      </c>
      <c r="D156" s="8">
        <f t="shared" ref="D156:I157" si="37">100*_xlfn.STDEV.S(D144,D148)/((D148+D144)/2)</f>
        <v>23.51419277949385</v>
      </c>
      <c r="E156" s="8">
        <f t="shared" si="37"/>
        <v>33.610194352559759</v>
      </c>
      <c r="F156" s="8">
        <f t="shared" si="37"/>
        <v>10.584321570688676</v>
      </c>
      <c r="G156" s="8">
        <f>100*_xlfn.STDEV.S(G144,5.8)/((5.8+G144)/2)</f>
        <v>4.2786500225785975</v>
      </c>
      <c r="H156" s="8">
        <f>100*_xlfn.STDEV.S(H144,22.4)/((22.4+H144)/2)</f>
        <v>2.2005481013556172</v>
      </c>
      <c r="I156" s="8">
        <f>100*_xlfn.STDEV.S(I144,6.3)/((6.3+I144)/2)</f>
        <v>12.262504957564001</v>
      </c>
    </row>
    <row r="157" spans="1:9">
      <c r="A157" s="24" t="s">
        <v>178</v>
      </c>
      <c r="C157" s="8">
        <f>100*_xlfn.STDEV.S(C145,C149)/((C149+C145)/2)</f>
        <v>5.2803550731896562</v>
      </c>
      <c r="D157" s="8">
        <f t="shared" si="37"/>
        <v>3.4680410820496661</v>
      </c>
      <c r="E157" s="8">
        <f t="shared" si="37"/>
        <v>2.4600897907486998</v>
      </c>
      <c r="F157" s="8">
        <f t="shared" si="37"/>
        <v>3.9196583467207957</v>
      </c>
      <c r="G157" s="8">
        <f t="shared" si="37"/>
        <v>0.94038224868225406</v>
      </c>
      <c r="H157" s="8">
        <f t="shared" si="37"/>
        <v>4.1425091111993275</v>
      </c>
      <c r="I157" s="8">
        <f t="shared" si="37"/>
        <v>4.4026504999917204</v>
      </c>
    </row>
    <row r="159" spans="1:9">
      <c r="A159" s="24" t="s">
        <v>209</v>
      </c>
    </row>
    <row r="160" spans="1:9">
      <c r="A160" s="24" t="s">
        <v>177</v>
      </c>
      <c r="C160" s="8">
        <f>_xlfn.STDEV.S(C148,C144)</f>
        <v>3.8967179452438661E-2</v>
      </c>
      <c r="D160" s="8">
        <f t="shared" ref="D160:I161" si="38">_xlfn.STDEV.S(D148,D144)</f>
        <v>3.0242804418374195E-2</v>
      </c>
      <c r="E160" s="8">
        <f t="shared" si="38"/>
        <v>0.13226457777590062</v>
      </c>
      <c r="F160" s="8">
        <f t="shared" si="38"/>
        <v>5.3770637965048981E-2</v>
      </c>
      <c r="G160" s="8">
        <f>_xlfn.STDEV.S(5.8,G144)</f>
        <v>0.24087414452649758</v>
      </c>
      <c r="H160" s="8">
        <f>_xlfn.STDEV.S(22.4,H144)</f>
        <v>0.48537030364442957</v>
      </c>
      <c r="I160" s="8">
        <f>_xlfn.STDEV.S(6.3,I144)</f>
        <v>0.71089667004974144</v>
      </c>
    </row>
    <row r="161" spans="1:9">
      <c r="A161" s="24" t="s">
        <v>178</v>
      </c>
      <c r="C161" s="8">
        <f>_xlfn.STDEV.S(C149,C145)</f>
        <v>0.63079323267906473</v>
      </c>
      <c r="D161" s="8">
        <f t="shared" si="38"/>
        <v>0.47995537347076567</v>
      </c>
      <c r="E161" s="8">
        <f t="shared" si="38"/>
        <v>0.53196596045599098</v>
      </c>
      <c r="F161" s="8">
        <f t="shared" si="38"/>
        <v>0.5402066785825741</v>
      </c>
      <c r="G161" s="8">
        <f t="shared" si="38"/>
        <v>2.6623858562894749</v>
      </c>
      <c r="H161" s="8">
        <f t="shared" si="38"/>
        <v>10.028655412975988</v>
      </c>
      <c r="I161" s="8">
        <f t="shared" si="38"/>
        <v>1.8359829223717641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zoomScaleNormal="100" workbookViewId="0">
      <selection activeCell="E13" sqref="E13"/>
    </sheetView>
  </sheetViews>
  <sheetFormatPr defaultRowHeight="15"/>
  <cols>
    <col min="1" max="1" width="10.140625" customWidth="1"/>
    <col min="2" max="2" width="16.140625" customWidth="1"/>
    <col min="3" max="3" width="8.28515625" customWidth="1"/>
    <col min="4" max="4" width="41.28515625" customWidth="1"/>
    <col min="5" max="5" width="20" customWidth="1"/>
    <col min="6" max="6" width="11.28515625" customWidth="1"/>
    <col min="7" max="7" width="36.140625" customWidth="1"/>
  </cols>
  <sheetData>
    <row r="1" spans="1:7">
      <c r="A1" s="30" t="s">
        <v>258</v>
      </c>
      <c r="B1" s="30"/>
    </row>
    <row r="3" spans="1:7">
      <c r="A3" s="31"/>
      <c r="B3" s="31"/>
      <c r="C3" s="31"/>
      <c r="D3" s="31"/>
      <c r="E3" s="31"/>
      <c r="F3" s="31"/>
      <c r="G3" s="31"/>
    </row>
    <row r="4" spans="1:7">
      <c r="A4" s="30" t="s">
        <v>233</v>
      </c>
    </row>
    <row r="6" spans="1:7">
      <c r="A6" s="34" t="s">
        <v>234</v>
      </c>
      <c r="B6" s="34" t="s">
        <v>235</v>
      </c>
      <c r="C6" s="34" t="s">
        <v>236</v>
      </c>
      <c r="D6" s="34" t="s">
        <v>237</v>
      </c>
      <c r="E6" s="34" t="s">
        <v>238</v>
      </c>
      <c r="F6" s="34" t="s">
        <v>239</v>
      </c>
      <c r="G6" s="35" t="s">
        <v>240</v>
      </c>
    </row>
    <row r="7" spans="1:7">
      <c r="A7" s="36" t="s">
        <v>180</v>
      </c>
      <c r="B7" s="37" t="s">
        <v>241</v>
      </c>
      <c r="C7" s="37" t="s">
        <v>242</v>
      </c>
      <c r="D7" s="37" t="s">
        <v>243</v>
      </c>
      <c r="E7" s="37" t="s">
        <v>244</v>
      </c>
      <c r="F7" s="37" t="s">
        <v>245</v>
      </c>
      <c r="G7" s="37" t="s">
        <v>246</v>
      </c>
    </row>
    <row r="8" spans="1:7">
      <c r="A8" s="36" t="s">
        <v>172</v>
      </c>
      <c r="B8" s="37" t="s">
        <v>247</v>
      </c>
      <c r="C8" s="37" t="s">
        <v>242</v>
      </c>
      <c r="D8" s="37" t="s">
        <v>248</v>
      </c>
      <c r="E8" s="37" t="s">
        <v>249</v>
      </c>
      <c r="F8" s="37" t="s">
        <v>250</v>
      </c>
      <c r="G8" s="37" t="s">
        <v>251</v>
      </c>
    </row>
    <row r="9" spans="1:7">
      <c r="A9" s="36" t="s">
        <v>181</v>
      </c>
      <c r="B9" s="37" t="s">
        <v>252</v>
      </c>
      <c r="C9" s="37" t="s">
        <v>242</v>
      </c>
      <c r="D9" s="37" t="s">
        <v>253</v>
      </c>
      <c r="E9" s="37" t="s">
        <v>254</v>
      </c>
      <c r="F9" s="37" t="s">
        <v>250</v>
      </c>
      <c r="G9" s="37" t="s">
        <v>255</v>
      </c>
    </row>
    <row r="10" spans="1:7">
      <c r="A10" s="36" t="s">
        <v>176</v>
      </c>
      <c r="B10" s="37" t="s">
        <v>256</v>
      </c>
      <c r="C10" s="37" t="s">
        <v>242</v>
      </c>
      <c r="D10" s="37" t="s">
        <v>253</v>
      </c>
      <c r="E10" s="37" t="s">
        <v>254</v>
      </c>
      <c r="F10" s="37" t="s">
        <v>250</v>
      </c>
      <c r="G10" s="37" t="s">
        <v>257</v>
      </c>
    </row>
    <row r="11" spans="1:7">
      <c r="A11" s="7"/>
      <c r="B11" s="7"/>
      <c r="C11" s="7"/>
      <c r="D11" s="7"/>
      <c r="E11" s="7"/>
      <c r="F11" s="7"/>
      <c r="G11" s="7"/>
    </row>
  </sheetData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FIELD_PGE</vt:lpstr>
      <vt:lpstr>VSF2_PGE</vt:lpstr>
      <vt:lpstr>BV1_PGE</vt:lpstr>
      <vt:lpstr>STD_stats</vt:lpstr>
      <vt:lpstr>STD_metadata</vt:lpstr>
    </vt:vector>
  </TitlesOfParts>
  <Company>Cardiff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insrv</dc:creator>
  <cp:lastModifiedBy>insrv</cp:lastModifiedBy>
  <cp:lastPrinted>2018-05-15T16:42:48Z</cp:lastPrinted>
  <dcterms:created xsi:type="dcterms:W3CDTF">2016-05-13T10:22:42Z</dcterms:created>
  <dcterms:modified xsi:type="dcterms:W3CDTF">2019-03-29T18:26:55Z</dcterms:modified>
</cp:coreProperties>
</file>